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embeddings/oleObject3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EstaPasta_de_trabalho"/>
  <workbookProtection lockStructure="1"/>
  <bookViews>
    <workbookView xWindow="480" yWindow="60" windowWidth="14355" windowHeight="8265" activeTab="1"/>
  </bookViews>
  <sheets>
    <sheet name="DADOS" sheetId="5" r:id="rId1"/>
    <sheet name="QCI" sheetId="1" r:id="rId2"/>
    <sheet name="CRONO" sheetId="10" r:id="rId3"/>
    <sheet name="RRE" sheetId="12" r:id="rId4"/>
    <sheet name="Ofício" sheetId="14" r:id="rId5"/>
    <sheet name="Listas" sheetId="15" state="hidden" r:id="rId6"/>
  </sheets>
  <definedNames>
    <definedName name="_xlnm._FilterDatabase" localSheetId="2" hidden="1">CRONO!$B$8:$M$20</definedName>
    <definedName name="_xlnm._FilterDatabase" localSheetId="0" hidden="1">DADOS!#REF!</definedName>
    <definedName name="_xlnm._FilterDatabase" localSheetId="1" hidden="1">QCI!$B$5:$O$10</definedName>
    <definedName name="_xlnm._FilterDatabase" localSheetId="3" hidden="1">RRE!$B$9:$J$15</definedName>
    <definedName name="_xlnm.Print_Area" localSheetId="2">CRONO!$B$2:$P$72</definedName>
    <definedName name="_xlnm.Print_Area" localSheetId="0">DADOS!$A$1:$H$48</definedName>
    <definedName name="_xlnm.Print_Area" localSheetId="4">Ofício!$A$1:$I$55</definedName>
    <definedName name="_xlnm.Print_Area" localSheetId="1">QCI!$B$2:$P$30</definedName>
    <definedName name="_xlnm.Print_Area" localSheetId="3">RRE!$B$2:$Q$40</definedName>
    <definedName name="I.Lotes" localSheetId="2">CRONO!#REF!</definedName>
    <definedName name="I.Lotes" localSheetId="3">RRE!$W$11:$W$15</definedName>
    <definedName name="I.Lotes">QCI!$Z$8:$Z$22</definedName>
    <definedName name="ItemInvestimento">OFFSET(Listas!$B$2,1,0,COUNTA(Listas!$B:$B)-1)</definedName>
    <definedName name="ListaGIGOV">Listas!$A$3:$A$74</definedName>
    <definedName name="SubItemInvestimento" localSheetId="2">OFFSET(DADOS!#REF!,MATCH(CRONO!#REF!,DADOS!#REF!,0)-1,0,COUNTIF(DADOS!#REF!,CRONO!#REF!))</definedName>
    <definedName name="SubItemInvestimento" localSheetId="3">OFFSET(DADOS!#REF!,MATCH(RRE!#REF!,DADOS!#REF!,0)-1,0,COUNTIF(DADOS!#REF!,RRE!#REF!))</definedName>
    <definedName name="SubItemInvestimento">OFFSET(Listas!$A$2,1,MATCH(QCI!$E1,Listas!$2:$2,0)-1,INDEX(Listas!$2:$2,MATCH(QCI!$E1,Listas!$2:$2,0)+1))</definedName>
    <definedName name="_xlnm.Print_Titles" localSheetId="2">CRONO!$B:$G,CRONO!$8:$9</definedName>
    <definedName name="_xlnm.Print_Titles" localSheetId="1">QCI!$5:$6</definedName>
    <definedName name="_xlnm.Print_Titles" localSheetId="3">RRE!$9:$10</definedName>
  </definedNames>
  <calcPr calcId="124519"/>
</workbook>
</file>

<file path=xl/calcChain.xml><?xml version="1.0" encoding="utf-8"?>
<calcChain xmlns="http://schemas.openxmlformats.org/spreadsheetml/2006/main">
  <c r="M21" i="1"/>
  <c r="M20"/>
  <c r="M19"/>
  <c r="M18"/>
  <c r="M17"/>
  <c r="M16"/>
  <c r="M15"/>
  <c r="M14"/>
  <c r="M13"/>
  <c r="M12"/>
  <c r="M11"/>
  <c r="Y26" i="12" l="1"/>
  <c r="J26"/>
  <c r="G26"/>
  <c r="F26"/>
  <c r="P26" s="1"/>
  <c r="E26"/>
  <c r="C26"/>
  <c r="G65" i="10"/>
  <c r="G62" s="1"/>
  <c r="F65"/>
  <c r="F64"/>
  <c r="E62"/>
  <c r="C62"/>
  <c r="Z21" i="1"/>
  <c r="J21"/>
  <c r="H26" i="12" s="1"/>
  <c r="B21" i="1"/>
  <c r="B26" i="12" s="1"/>
  <c r="Y25"/>
  <c r="J25"/>
  <c r="G25"/>
  <c r="F25"/>
  <c r="P25" s="1"/>
  <c r="E25"/>
  <c r="C25"/>
  <c r="G61" i="10"/>
  <c r="G58" s="1"/>
  <c r="F61"/>
  <c r="F60"/>
  <c r="E58"/>
  <c r="C58"/>
  <c r="Z20" i="1"/>
  <c r="J20"/>
  <c r="H25" i="12" s="1"/>
  <c r="B11" i="1"/>
  <c r="B12"/>
  <c r="B13" s="1"/>
  <c r="J23" i="12"/>
  <c r="Y24"/>
  <c r="J24"/>
  <c r="G24"/>
  <c r="F24"/>
  <c r="P24" s="1"/>
  <c r="E24"/>
  <c r="C24"/>
  <c r="G57" i="10"/>
  <c r="G54" s="1"/>
  <c r="E54"/>
  <c r="C54"/>
  <c r="Z19" i="1"/>
  <c r="Y23" i="12"/>
  <c r="G23"/>
  <c r="F23"/>
  <c r="P23" s="1"/>
  <c r="E23"/>
  <c r="C23"/>
  <c r="G53" i="10"/>
  <c r="G50" s="1"/>
  <c r="E50"/>
  <c r="C50"/>
  <c r="Z18" i="1"/>
  <c r="S10"/>
  <c r="D10" s="1"/>
  <c r="F22" i="12"/>
  <c r="P22" s="1"/>
  <c r="F21"/>
  <c r="P21" s="1"/>
  <c r="F20"/>
  <c r="F19"/>
  <c r="P19" s="1"/>
  <c r="F18"/>
  <c r="P18" s="1"/>
  <c r="F17"/>
  <c r="F16"/>
  <c r="P16" s="1"/>
  <c r="F15"/>
  <c r="P15" s="1"/>
  <c r="J29"/>
  <c r="F6" s="1"/>
  <c r="G7" i="10"/>
  <c r="H7" s="1"/>
  <c r="G33"/>
  <c r="G30" s="1"/>
  <c r="G37"/>
  <c r="G34" s="1"/>
  <c r="G41"/>
  <c r="G38" s="1"/>
  <c r="G45"/>
  <c r="G42" s="1"/>
  <c r="G49"/>
  <c r="G46" s="1"/>
  <c r="F21"/>
  <c r="F25" s="1"/>
  <c r="F29" s="1"/>
  <c r="F33" s="1"/>
  <c r="F37" s="1"/>
  <c r="F41" s="1"/>
  <c r="F45" s="1"/>
  <c r="F49" s="1"/>
  <c r="F53" s="1"/>
  <c r="F57" s="1"/>
  <c r="F20"/>
  <c r="F24"/>
  <c r="F28" s="1"/>
  <c r="F32" s="1"/>
  <c r="F36" s="1"/>
  <c r="F40" s="1"/>
  <c r="F44" s="1"/>
  <c r="F48" s="1"/>
  <c r="F52" s="1"/>
  <c r="F56" s="1"/>
  <c r="H31" i="5"/>
  <c r="L5" i="1"/>
  <c r="B28" i="14" s="1"/>
  <c r="F11" i="10"/>
  <c r="F15" s="1"/>
  <c r="H24" i="5"/>
  <c r="Y12" i="12"/>
  <c r="Y15"/>
  <c r="Y16"/>
  <c r="Y17"/>
  <c r="Y18"/>
  <c r="Y19"/>
  <c r="Y20"/>
  <c r="Y21"/>
  <c r="Y22"/>
  <c r="J22"/>
  <c r="G22"/>
  <c r="E22"/>
  <c r="C22"/>
  <c r="E46" i="10"/>
  <c r="C46"/>
  <c r="Z17" i="1"/>
  <c r="J21" i="12"/>
  <c r="G21"/>
  <c r="E21"/>
  <c r="C21"/>
  <c r="E42" i="10"/>
  <c r="C42"/>
  <c r="Z16" i="1"/>
  <c r="J20" i="12"/>
  <c r="P20"/>
  <c r="G20"/>
  <c r="E20"/>
  <c r="C20"/>
  <c r="E38" i="10"/>
  <c r="C38"/>
  <c r="Z15" i="1"/>
  <c r="J19" i="12"/>
  <c r="G19"/>
  <c r="E19"/>
  <c r="C19"/>
  <c r="E34" i="10"/>
  <c r="C34"/>
  <c r="Z14" i="1"/>
  <c r="J18" i="12"/>
  <c r="G18"/>
  <c r="E18"/>
  <c r="C18"/>
  <c r="E30" i="10"/>
  <c r="C30"/>
  <c r="Z13" i="1"/>
  <c r="G17" i="12"/>
  <c r="E17"/>
  <c r="C17"/>
  <c r="B17"/>
  <c r="E26" i="10"/>
  <c r="C26"/>
  <c r="B26"/>
  <c r="Z12" i="1"/>
  <c r="G16" i="12"/>
  <c r="E16"/>
  <c r="T10" i="1"/>
  <c r="T11" s="1"/>
  <c r="T12" s="1"/>
  <c r="T13" s="1"/>
  <c r="T14" s="1"/>
  <c r="T15" s="1"/>
  <c r="T16" s="1"/>
  <c r="T17" s="1"/>
  <c r="T18" s="1"/>
  <c r="T19" s="1"/>
  <c r="T20" s="1"/>
  <c r="T21" s="1"/>
  <c r="C16" i="12"/>
  <c r="B16"/>
  <c r="E22" i="10"/>
  <c r="C22"/>
  <c r="B22"/>
  <c r="Z11" i="1"/>
  <c r="D51" i="5"/>
  <c r="B3" i="12"/>
  <c r="K23" i="14"/>
  <c r="K24" s="1"/>
  <c r="K25" s="1"/>
  <c r="G12"/>
  <c r="C26"/>
  <c r="E18" i="10"/>
  <c r="C18"/>
  <c r="B18"/>
  <c r="E70"/>
  <c r="C15" i="12"/>
  <c r="B15"/>
  <c r="D2" i="15"/>
  <c r="F2"/>
  <c r="AJ2"/>
  <c r="AH2"/>
  <c r="AF2"/>
  <c r="AD2"/>
  <c r="AB2"/>
  <c r="Z2"/>
  <c r="V2"/>
  <c r="T2"/>
  <c r="R2"/>
  <c r="P2"/>
  <c r="N2"/>
  <c r="L2"/>
  <c r="J2"/>
  <c r="H2"/>
  <c r="G15" i="12"/>
  <c r="E15"/>
  <c r="Z10" i="1"/>
  <c r="Y5"/>
  <c r="X5"/>
  <c r="W5"/>
  <c r="B30" i="14"/>
  <c r="H13" i="12"/>
  <c r="A2" i="14"/>
  <c r="F2" s="1"/>
  <c r="K71" i="10"/>
  <c r="K70"/>
  <c r="K8" i="12"/>
  <c r="B31"/>
  <c r="A53" i="14"/>
  <c r="F53" s="1"/>
  <c r="C13"/>
  <c r="G13" s="1"/>
  <c r="F9"/>
  <c r="I36" i="12"/>
  <c r="B36"/>
  <c r="I31"/>
  <c r="O3" i="10"/>
  <c r="O2"/>
  <c r="B38" i="12"/>
  <c r="B39"/>
  <c r="I34"/>
  <c r="B34"/>
  <c r="B33"/>
  <c r="I33"/>
  <c r="I38"/>
  <c r="I39"/>
  <c r="I29"/>
  <c r="B29"/>
  <c r="B70" i="10"/>
  <c r="B69"/>
  <c r="E69"/>
  <c r="B17" i="14"/>
  <c r="A54" s="1"/>
  <c r="F54" s="1"/>
  <c r="B15"/>
  <c r="G15" s="1"/>
  <c r="P3" i="12"/>
  <c r="P2"/>
  <c r="J5"/>
  <c r="H11" s="1"/>
  <c r="P17"/>
  <c r="J15" i="1"/>
  <c r="H20" i="12" s="1"/>
  <c r="J12" i="1"/>
  <c r="H17" i="12" s="1"/>
  <c r="G29" i="10"/>
  <c r="G26" s="1"/>
  <c r="J17" i="12"/>
  <c r="B62" i="10" l="1"/>
  <c r="H8"/>
  <c r="I7"/>
  <c r="J7" s="1"/>
  <c r="J8" s="1"/>
  <c r="H9"/>
  <c r="S11" i="1"/>
  <c r="S12" s="1"/>
  <c r="D12" s="1"/>
  <c r="D18" i="10"/>
  <c r="D15" i="12"/>
  <c r="V10" i="1"/>
  <c r="T15" i="12" s="1"/>
  <c r="K26" i="14"/>
  <c r="B14" i="1"/>
  <c r="B18" i="12"/>
  <c r="B30" i="10"/>
  <c r="J16" i="1"/>
  <c r="H21" i="12" s="1"/>
  <c r="J11" i="1"/>
  <c r="H16" i="12" s="1"/>
  <c r="J13" i="1"/>
  <c r="H18" i="12" s="1"/>
  <c r="A3" i="14"/>
  <c r="F3" s="1"/>
  <c r="J14" i="1"/>
  <c r="H19" i="12" s="1"/>
  <c r="G17" i="14"/>
  <c r="J18" i="1"/>
  <c r="H23" i="12" s="1"/>
  <c r="J17" i="1"/>
  <c r="H22" i="12" s="1"/>
  <c r="J10" i="1"/>
  <c r="H15" i="12" s="1"/>
  <c r="J19" i="1"/>
  <c r="H24" i="12" s="1"/>
  <c r="K7" i="10" l="1"/>
  <c r="K9" s="1"/>
  <c r="J9"/>
  <c r="I9"/>
  <c r="I8"/>
  <c r="D11" i="1"/>
  <c r="V11"/>
  <c r="AA11" s="1"/>
  <c r="V12"/>
  <c r="T26" i="10" s="1"/>
  <c r="S13" i="1"/>
  <c r="V13" s="1"/>
  <c r="T18" i="10"/>
  <c r="AA10" i="1"/>
  <c r="K27" i="14"/>
  <c r="D17" i="12"/>
  <c r="D26" i="10"/>
  <c r="L15" i="12"/>
  <c r="I15"/>
  <c r="V15"/>
  <c r="B15" i="1"/>
  <c r="B19" i="12"/>
  <c r="B34" i="10"/>
  <c r="D16" i="12" l="1"/>
  <c r="W11" i="1"/>
  <c r="L7" i="10"/>
  <c r="L9" s="1"/>
  <c r="K8"/>
  <c r="D22"/>
  <c r="T16" i="12"/>
  <c r="V16" s="1"/>
  <c r="Z16" s="1"/>
  <c r="AA12" i="1"/>
  <c r="T17" i="12"/>
  <c r="V17" s="1"/>
  <c r="T22" i="10"/>
  <c r="H23" s="1"/>
  <c r="Y11" i="1"/>
  <c r="W12"/>
  <c r="Y12"/>
  <c r="U11"/>
  <c r="S16" i="12" s="1"/>
  <c r="D13" i="1"/>
  <c r="D30" i="10" s="1"/>
  <c r="U12" i="1"/>
  <c r="S17" i="12" s="1"/>
  <c r="S14" i="1"/>
  <c r="V14" s="1"/>
  <c r="K20" i="10"/>
  <c r="H20"/>
  <c r="O20"/>
  <c r="N21"/>
  <c r="I20"/>
  <c r="H21"/>
  <c r="M20"/>
  <c r="L21"/>
  <c r="N20"/>
  <c r="J20"/>
  <c r="M21"/>
  <c r="J21"/>
  <c r="O21"/>
  <c r="L20"/>
  <c r="K21"/>
  <c r="I21"/>
  <c r="K28" i="14"/>
  <c r="W15" i="12"/>
  <c r="B38" i="10"/>
  <c r="B16" i="1"/>
  <c r="B20" i="12"/>
  <c r="Z15"/>
  <c r="T30" i="10"/>
  <c r="Y13" i="1"/>
  <c r="W13"/>
  <c r="T18" i="12"/>
  <c r="U13" i="1"/>
  <c r="AA13"/>
  <c r="H27" i="10"/>
  <c r="I27" s="1"/>
  <c r="J16" i="12" l="1"/>
  <c r="G25" i="10"/>
  <c r="G22" s="1"/>
  <c r="M7"/>
  <c r="M9" s="1"/>
  <c r="L8"/>
  <c r="L16" i="12"/>
  <c r="I16"/>
  <c r="I17"/>
  <c r="L17"/>
  <c r="S22" i="10"/>
  <c r="D18" i="12"/>
  <c r="S26" i="10"/>
  <c r="S15" i="1"/>
  <c r="S16" s="1"/>
  <c r="D14"/>
  <c r="D34" i="10" s="1"/>
  <c r="I23"/>
  <c r="J27"/>
  <c r="I29"/>
  <c r="Z17" i="12"/>
  <c r="M17"/>
  <c r="L18"/>
  <c r="I18"/>
  <c r="V18"/>
  <c r="S18"/>
  <c r="S30" i="10"/>
  <c r="H29"/>
  <c r="B21" i="12"/>
  <c r="B17" i="1"/>
  <c r="B42" i="10"/>
  <c r="K29" i="14"/>
  <c r="H31" i="10"/>
  <c r="H33" s="1"/>
  <c r="T19" i="12"/>
  <c r="W14" i="1"/>
  <c r="AA14"/>
  <c r="Y14"/>
  <c r="T34" i="10"/>
  <c r="U14" i="1"/>
  <c r="M8" i="10" l="1"/>
  <c r="M16" i="12"/>
  <c r="H25" i="10"/>
  <c r="N7"/>
  <c r="N8" s="1"/>
  <c r="W16" i="12"/>
  <c r="W17" s="1"/>
  <c r="W18" s="1"/>
  <c r="V15" i="1"/>
  <c r="Y15" s="1"/>
  <c r="D15"/>
  <c r="D38" i="10" s="1"/>
  <c r="D19" i="12"/>
  <c r="I31" i="10"/>
  <c r="I33" s="1"/>
  <c r="J23"/>
  <c r="I25"/>
  <c r="J29"/>
  <c r="K27"/>
  <c r="H35"/>
  <c r="H37" s="1"/>
  <c r="K30" i="14"/>
  <c r="S17" i="1"/>
  <c r="D16"/>
  <c r="V16"/>
  <c r="L19" i="12"/>
  <c r="I19"/>
  <c r="V19"/>
  <c r="S34" i="10"/>
  <c r="S19" i="12"/>
  <c r="B18" i="1"/>
  <c r="B22" i="12"/>
  <c r="B46" i="10"/>
  <c r="M18" i="12"/>
  <c r="Z18"/>
  <c r="N9" i="10" l="1"/>
  <c r="O7"/>
  <c r="O8" s="1"/>
  <c r="T20" i="12"/>
  <c r="V20" s="1"/>
  <c r="AA15" i="1"/>
  <c r="T38" i="10"/>
  <c r="H39" s="1"/>
  <c r="I39" s="1"/>
  <c r="W15" i="1"/>
  <c r="U15"/>
  <c r="S38" i="10" s="1"/>
  <c r="D20" i="12"/>
  <c r="J31" i="10"/>
  <c r="J33" s="1"/>
  <c r="I35"/>
  <c r="I37" s="1"/>
  <c r="J25"/>
  <c r="K23"/>
  <c r="W19" i="12"/>
  <c r="B50" i="10"/>
  <c r="B23" i="12"/>
  <c r="B19" i="1"/>
  <c r="B20" s="1"/>
  <c r="U16"/>
  <c r="T42" i="10"/>
  <c r="T21" i="12"/>
  <c r="W16" i="1"/>
  <c r="AA16"/>
  <c r="Y16"/>
  <c r="K31" i="14"/>
  <c r="K29" i="10"/>
  <c r="L27"/>
  <c r="M19" i="12"/>
  <c r="Z19"/>
  <c r="S18" i="1"/>
  <c r="D17"/>
  <c r="V17"/>
  <c r="D21" i="12"/>
  <c r="D42" i="10"/>
  <c r="O9" l="1"/>
  <c r="S20" i="12"/>
  <c r="B25"/>
  <c r="B58" i="10"/>
  <c r="L20" i="12"/>
  <c r="I20"/>
  <c r="K31" i="10"/>
  <c r="K33" s="1"/>
  <c r="J35"/>
  <c r="K35" s="1"/>
  <c r="K25"/>
  <c r="L23"/>
  <c r="I41"/>
  <c r="J39"/>
  <c r="Y17" i="1"/>
  <c r="T46" i="10"/>
  <c r="T22" i="12"/>
  <c r="W17" i="1"/>
  <c r="AA17"/>
  <c r="U17"/>
  <c r="M27" i="10"/>
  <c r="L29"/>
  <c r="I21" i="12"/>
  <c r="L21"/>
  <c r="V21"/>
  <c r="H41" i="10"/>
  <c r="S19" i="1"/>
  <c r="S20" s="1"/>
  <c r="S21" s="1"/>
  <c r="D18"/>
  <c r="V18"/>
  <c r="K32" i="14"/>
  <c r="B54" i="10"/>
  <c r="B24" i="12"/>
  <c r="D22"/>
  <c r="D46" i="10"/>
  <c r="S21" i="12"/>
  <c r="S42" i="10"/>
  <c r="Z20" i="12"/>
  <c r="M20"/>
  <c r="H43" i="10"/>
  <c r="H45" s="1"/>
  <c r="V21" i="1" l="1"/>
  <c r="D21"/>
  <c r="X21"/>
  <c r="N21" s="1"/>
  <c r="X20" s="1"/>
  <c r="N20" s="1"/>
  <c r="V20"/>
  <c r="D20"/>
  <c r="W20" i="12"/>
  <c r="W21" s="1"/>
  <c r="L31" i="10"/>
  <c r="L33" s="1"/>
  <c r="J37"/>
  <c r="M23"/>
  <c r="L25"/>
  <c r="D50"/>
  <c r="D23" i="12"/>
  <c r="L22"/>
  <c r="I22"/>
  <c r="V22"/>
  <c r="L35" i="10"/>
  <c r="K37"/>
  <c r="Z21" i="12"/>
  <c r="M21"/>
  <c r="N27" i="10"/>
  <c r="M29"/>
  <c r="K39"/>
  <c r="J41"/>
  <c r="K33" i="14"/>
  <c r="AA18" i="1"/>
  <c r="U18"/>
  <c r="T50" i="10"/>
  <c r="T23" i="12"/>
  <c r="W18" i="1"/>
  <c r="Y18"/>
  <c r="I43" i="10"/>
  <c r="D19" i="1"/>
  <c r="V19"/>
  <c r="S22" i="12"/>
  <c r="S46" i="10"/>
  <c r="H47"/>
  <c r="H49" s="1"/>
  <c r="M31" l="1"/>
  <c r="M33" s="1"/>
  <c r="T62"/>
  <c r="AA21" i="1"/>
  <c r="W21"/>
  <c r="Y21"/>
  <c r="U21"/>
  <c r="T26" i="12"/>
  <c r="D62" i="10"/>
  <c r="D26" i="12"/>
  <c r="G64" i="10"/>
  <c r="L21" i="1"/>
  <c r="T58" i="10"/>
  <c r="AA20" i="1"/>
  <c r="W20"/>
  <c r="T25" i="12"/>
  <c r="Y20" i="1"/>
  <c r="U20"/>
  <c r="D58" i="10"/>
  <c r="D25" i="12"/>
  <c r="G60" i="10"/>
  <c r="L20" i="1"/>
  <c r="M25" i="10"/>
  <c r="N23"/>
  <c r="X19" i="1"/>
  <c r="N19" s="1"/>
  <c r="U10"/>
  <c r="W10"/>
  <c r="M10" s="1"/>
  <c r="I23" i="12"/>
  <c r="V23"/>
  <c r="L23"/>
  <c r="L39" i="10"/>
  <c r="K41"/>
  <c r="I47"/>
  <c r="AA19" i="1"/>
  <c r="T24" i="12"/>
  <c r="Y19" i="1"/>
  <c r="T54" i="10"/>
  <c r="U19" i="1"/>
  <c r="W19"/>
  <c r="S23" i="12"/>
  <c r="S50" i="10"/>
  <c r="M35"/>
  <c r="L37"/>
  <c r="D24" i="12"/>
  <c r="D54" i="10"/>
  <c r="J43"/>
  <c r="I45"/>
  <c r="H51"/>
  <c r="I51" s="1"/>
  <c r="K34" i="14"/>
  <c r="O27" i="10"/>
  <c r="O29" s="1"/>
  <c r="N29"/>
  <c r="W22" i="12"/>
  <c r="Z22"/>
  <c r="M22"/>
  <c r="N31" i="10" l="1"/>
  <c r="N33" s="1"/>
  <c r="S26" i="12"/>
  <c r="S62" i="10"/>
  <c r="H63"/>
  <c r="I63" s="1"/>
  <c r="V26" i="12"/>
  <c r="I26"/>
  <c r="L26"/>
  <c r="H59" i="10"/>
  <c r="H61" s="1"/>
  <c r="S25" i="12"/>
  <c r="S58" i="10"/>
  <c r="V25" i="12"/>
  <c r="I25"/>
  <c r="L25"/>
  <c r="O23" i="10"/>
  <c r="O25" s="1"/>
  <c r="N25"/>
  <c r="H53"/>
  <c r="O31"/>
  <c r="O33" s="1"/>
  <c r="I53"/>
  <c r="J51"/>
  <c r="H55"/>
  <c r="H57" s="1"/>
  <c r="J47"/>
  <c r="I49"/>
  <c r="M37"/>
  <c r="N35"/>
  <c r="S24" i="12"/>
  <c r="S54" i="10"/>
  <c r="W23" i="12"/>
  <c r="K35" i="14"/>
  <c r="L24" i="12"/>
  <c r="I24"/>
  <c r="V24"/>
  <c r="G56" i="10"/>
  <c r="L19" i="1"/>
  <c r="X18"/>
  <c r="N18" s="1"/>
  <c r="M39" i="10"/>
  <c r="L41"/>
  <c r="M23" i="12"/>
  <c r="Z23"/>
  <c r="M9" i="1"/>
  <c r="O9"/>
  <c r="K43" i="10"/>
  <c r="J45"/>
  <c r="Y10" i="1"/>
  <c r="O10" s="1"/>
  <c r="S18" i="10"/>
  <c r="S15" i="12"/>
  <c r="H56" i="10" l="1"/>
  <c r="I65"/>
  <c r="I64"/>
  <c r="J63"/>
  <c r="H65"/>
  <c r="N26" i="12"/>
  <c r="Z26"/>
  <c r="M26"/>
  <c r="I59" i="10"/>
  <c r="I60" s="1"/>
  <c r="H60"/>
  <c r="H64"/>
  <c r="N25" i="12"/>
  <c r="Z25"/>
  <c r="M25"/>
  <c r="W24"/>
  <c r="W25" s="1"/>
  <c r="W26" s="1"/>
  <c r="K45" i="10"/>
  <c r="L43"/>
  <c r="G21"/>
  <c r="G18" s="1"/>
  <c r="J15" i="12"/>
  <c r="J12"/>
  <c r="M8" i="1"/>
  <c r="G52" i="10"/>
  <c r="L18" i="1"/>
  <c r="X17"/>
  <c r="N17" s="1"/>
  <c r="O7"/>
  <c r="L6" i="12" s="1"/>
  <c r="G17" i="10"/>
  <c r="J14" i="12"/>
  <c r="O8" i="1"/>
  <c r="M41" i="10"/>
  <c r="N39"/>
  <c r="M24" i="12"/>
  <c r="N24"/>
  <c r="Z24"/>
  <c r="K36" i="14"/>
  <c r="N23" i="12"/>
  <c r="I55" i="10"/>
  <c r="I56" s="1"/>
  <c r="K51"/>
  <c r="J53"/>
  <c r="V14" i="12"/>
  <c r="V13"/>
  <c r="U13" s="1"/>
  <c r="O13" s="1"/>
  <c r="K14"/>
  <c r="V12"/>
  <c r="O28" i="1"/>
  <c r="O27" s="1"/>
  <c r="M28"/>
  <c r="N37" i="10"/>
  <c r="O35"/>
  <c r="O37" s="1"/>
  <c r="K47"/>
  <c r="J49"/>
  <c r="J59" l="1"/>
  <c r="K59" s="1"/>
  <c r="I61"/>
  <c r="K63"/>
  <c r="J64"/>
  <c r="J65"/>
  <c r="L33" i="14"/>
  <c r="I33" s="1"/>
  <c r="M27" i="1"/>
  <c r="H17" i="10"/>
  <c r="H19"/>
  <c r="D30" i="14"/>
  <c r="L13" i="12"/>
  <c r="C30" i="14" s="1"/>
  <c r="K49" i="10"/>
  <c r="L47"/>
  <c r="V11" i="12"/>
  <c r="U14"/>
  <c r="K53" i="10"/>
  <c r="L51"/>
  <c r="L52" s="1"/>
  <c r="G48"/>
  <c r="L17" i="1"/>
  <c r="X16"/>
  <c r="N16" s="1"/>
  <c r="N22" i="12"/>
  <c r="L45" i="10"/>
  <c r="M43"/>
  <c r="U6" i="12"/>
  <c r="K11"/>
  <c r="L34" i="14"/>
  <c r="I57" i="10"/>
  <c r="J55"/>
  <c r="K37" i="14"/>
  <c r="O39" i="10"/>
  <c r="O41" s="1"/>
  <c r="N41"/>
  <c r="J52"/>
  <c r="I52"/>
  <c r="K52"/>
  <c r="H52"/>
  <c r="M15" i="12"/>
  <c r="J61" i="10" l="1"/>
  <c r="J60"/>
  <c r="K65"/>
  <c r="K64"/>
  <c r="L63"/>
  <c r="K60"/>
  <c r="L59"/>
  <c r="K61"/>
  <c r="L30" i="14"/>
  <c r="F30" s="1"/>
  <c r="L25"/>
  <c r="I25" s="1"/>
  <c r="L23"/>
  <c r="I23" s="1"/>
  <c r="L35"/>
  <c r="I35" s="1"/>
  <c r="L36"/>
  <c r="I36" s="1"/>
  <c r="L28"/>
  <c r="I28" s="1"/>
  <c r="L29"/>
  <c r="F29" s="1"/>
  <c r="L26"/>
  <c r="I26" s="1"/>
  <c r="F33"/>
  <c r="L27"/>
  <c r="I27" s="1"/>
  <c r="L32"/>
  <c r="I32" s="1"/>
  <c r="L31"/>
  <c r="I31" s="1"/>
  <c r="L24"/>
  <c r="F24" s="1"/>
  <c r="J57" i="10"/>
  <c r="K55"/>
  <c r="J56"/>
  <c r="K38" i="14"/>
  <c r="L37"/>
  <c r="L48" i="10"/>
  <c r="K48"/>
  <c r="I48"/>
  <c r="J48"/>
  <c r="H48"/>
  <c r="M45"/>
  <c r="N43"/>
  <c r="I17"/>
  <c r="L16" i="1"/>
  <c r="G44" i="10"/>
  <c r="X15" i="1"/>
  <c r="N15" s="1"/>
  <c r="N21" i="12"/>
  <c r="U12"/>
  <c r="U11" s="1"/>
  <c r="O14"/>
  <c r="F34" i="14"/>
  <c r="I34"/>
  <c r="L53" i="10"/>
  <c r="M51"/>
  <c r="H14"/>
  <c r="H13"/>
  <c r="M47"/>
  <c r="L49"/>
  <c r="F23" i="14" l="1"/>
  <c r="I30"/>
  <c r="M63" i="10"/>
  <c r="L64"/>
  <c r="L65"/>
  <c r="L61"/>
  <c r="M59"/>
  <c r="L60"/>
  <c r="F25" i="14"/>
  <c r="F32"/>
  <c r="I29"/>
  <c r="F31"/>
  <c r="I19" i="10"/>
  <c r="I24" i="14"/>
  <c r="F27"/>
  <c r="F28"/>
  <c r="F26"/>
  <c r="F35"/>
  <c r="F36"/>
  <c r="N47" i="10"/>
  <c r="M49"/>
  <c r="I13"/>
  <c r="I14"/>
  <c r="I10" s="1"/>
  <c r="N51"/>
  <c r="M53"/>
  <c r="M52"/>
  <c r="L44"/>
  <c r="M44"/>
  <c r="J44"/>
  <c r="I44"/>
  <c r="N44"/>
  <c r="K44"/>
  <c r="H44"/>
  <c r="J17"/>
  <c r="K39" i="14"/>
  <c r="L38"/>
  <c r="I38" s="1"/>
  <c r="M48" i="10"/>
  <c r="O12" i="12"/>
  <c r="O11" s="1"/>
  <c r="Z12"/>
  <c r="V6"/>
  <c r="L14"/>
  <c r="D31" i="14"/>
  <c r="P11" i="12"/>
  <c r="L15" i="1"/>
  <c r="G40" i="10"/>
  <c r="X14" i="1"/>
  <c r="N14" s="1"/>
  <c r="N20" i="12"/>
  <c r="O43" i="10"/>
  <c r="O45" s="1"/>
  <c r="N45"/>
  <c r="F37" i="14"/>
  <c r="I37"/>
  <c r="H10" i="10"/>
  <c r="G6" i="12"/>
  <c r="K57" i="10"/>
  <c r="L55"/>
  <c r="K56"/>
  <c r="M65" l="1"/>
  <c r="M64"/>
  <c r="N63"/>
  <c r="M60"/>
  <c r="N59"/>
  <c r="M61"/>
  <c r="J19"/>
  <c r="L11" i="12"/>
  <c r="C28" i="14" s="1"/>
  <c r="D28"/>
  <c r="L14" i="1"/>
  <c r="G36" i="10"/>
  <c r="X13" i="1"/>
  <c r="N13" s="1"/>
  <c r="N19" i="12"/>
  <c r="K17" i="10"/>
  <c r="N49"/>
  <c r="O47"/>
  <c r="N48"/>
  <c r="J14"/>
  <c r="J10" s="1"/>
  <c r="J13"/>
  <c r="N53"/>
  <c r="O51"/>
  <c r="N52"/>
  <c r="L57"/>
  <c r="M55"/>
  <c r="L56"/>
  <c r="D32" i="14"/>
  <c r="E6" i="12"/>
  <c r="N40" i="10"/>
  <c r="K40"/>
  <c r="I40"/>
  <c r="J40"/>
  <c r="O40"/>
  <c r="H40"/>
  <c r="M40"/>
  <c r="L40"/>
  <c r="C32" i="14"/>
  <c r="C31"/>
  <c r="L12" i="12"/>
  <c r="C29" i="14" s="1"/>
  <c r="D29"/>
  <c r="K40"/>
  <c r="L39"/>
  <c r="I39" s="1"/>
  <c r="O44" i="10"/>
  <c r="O63" l="1"/>
  <c r="N64"/>
  <c r="N65"/>
  <c r="N61"/>
  <c r="O59"/>
  <c r="N60"/>
  <c r="K19"/>
  <c r="N55"/>
  <c r="M57"/>
  <c r="M56"/>
  <c r="L40" i="14"/>
  <c r="I40" s="1"/>
  <c r="K41"/>
  <c r="O53" i="10"/>
  <c r="O52"/>
  <c r="L17"/>
  <c r="G32"/>
  <c r="L13" i="1"/>
  <c r="X12"/>
  <c r="N12" s="1"/>
  <c r="N18" i="12"/>
  <c r="O49" i="10"/>
  <c r="O48"/>
  <c r="K14"/>
  <c r="K10" s="1"/>
  <c r="K13"/>
  <c r="H36"/>
  <c r="I36"/>
  <c r="M36"/>
  <c r="L36"/>
  <c r="J36"/>
  <c r="K36"/>
  <c r="O36"/>
  <c r="N36"/>
  <c r="O65" l="1"/>
  <c r="O64"/>
  <c r="O60"/>
  <c r="O61"/>
  <c r="L19"/>
  <c r="L12" i="1"/>
  <c r="G28" i="10"/>
  <c r="X11" i="1"/>
  <c r="N11" s="1"/>
  <c r="N17" i="12"/>
  <c r="K42" i="14"/>
  <c r="L42" s="1"/>
  <c r="I42" s="1"/>
  <c r="L41"/>
  <c r="I41" s="1"/>
  <c r="N57" i="10"/>
  <c r="O55"/>
  <c r="N56"/>
  <c r="L14"/>
  <c r="L10" s="1"/>
  <c r="L13"/>
  <c r="K32"/>
  <c r="I32"/>
  <c r="N32"/>
  <c r="M32"/>
  <c r="L32"/>
  <c r="J32"/>
  <c r="O32"/>
  <c r="H32"/>
  <c r="M17" l="1"/>
  <c r="M19"/>
  <c r="L28"/>
  <c r="K28"/>
  <c r="H28"/>
  <c r="N28"/>
  <c r="M28"/>
  <c r="I28"/>
  <c r="J28"/>
  <c r="O28"/>
  <c r="N9" i="1"/>
  <c r="G24" i="10"/>
  <c r="L11" i="1"/>
  <c r="X10"/>
  <c r="N10" s="1"/>
  <c r="N28"/>
  <c r="N27" s="1"/>
  <c r="N16" i="12"/>
  <c r="O57" i="10"/>
  <c r="O56"/>
  <c r="G20" l="1"/>
  <c r="L10" i="1"/>
  <c r="N15" i="12"/>
  <c r="M14" i="10"/>
  <c r="M10" s="1"/>
  <c r="M13"/>
  <c r="N17"/>
  <c r="N19"/>
  <c r="J13" i="12"/>
  <c r="N8" i="1"/>
  <c r="M7"/>
  <c r="K6" i="12" s="1"/>
  <c r="G16" i="10"/>
  <c r="M24"/>
  <c r="M16" s="1"/>
  <c r="N24"/>
  <c r="N16" s="1"/>
  <c r="I24"/>
  <c r="I16" s="1"/>
  <c r="L24"/>
  <c r="L16" s="1"/>
  <c r="J24"/>
  <c r="J16" s="1"/>
  <c r="H24"/>
  <c r="H16" s="1"/>
  <c r="O24"/>
  <c r="K24"/>
  <c r="K16" s="1"/>
  <c r="L9" i="1"/>
  <c r="L28"/>
  <c r="L27" s="1"/>
  <c r="O17" i="10" l="1"/>
  <c r="O19"/>
  <c r="L7" i="1"/>
  <c r="J6" i="12" s="1"/>
  <c r="J11"/>
  <c r="L8" i="1"/>
  <c r="G15" i="10"/>
  <c r="M12"/>
  <c r="M15"/>
  <c r="K12"/>
  <c r="K15"/>
  <c r="H12"/>
  <c r="H15"/>
  <c r="H11" s="1"/>
  <c r="N12"/>
  <c r="J12"/>
  <c r="J15"/>
  <c r="I12"/>
  <c r="I15"/>
  <c r="N14"/>
  <c r="N10" s="1"/>
  <c r="N15"/>
  <c r="N13"/>
  <c r="O16"/>
  <c r="O12" s="1"/>
  <c r="L12"/>
  <c r="L15"/>
  <c r="K11" l="1"/>
  <c r="I11"/>
  <c r="M11"/>
  <c r="O15"/>
  <c r="O11" s="1"/>
  <c r="O14"/>
  <c r="O10" s="1"/>
  <c r="O13"/>
  <c r="L11"/>
  <c r="N11"/>
  <c r="J11"/>
</calcChain>
</file>

<file path=xl/sharedStrings.xml><?xml version="1.0" encoding="utf-8"?>
<sst xmlns="http://schemas.openxmlformats.org/spreadsheetml/2006/main" count="507" uniqueCount="331">
  <si>
    <t>Meta</t>
  </si>
  <si>
    <t>Etapa</t>
  </si>
  <si>
    <t>Repasse</t>
  </si>
  <si>
    <t>Pavimentação</t>
  </si>
  <si>
    <t>Abastecimento de água</t>
  </si>
  <si>
    <t>Esgotamento sanitário</t>
  </si>
  <si>
    <t>Energia elétrica e iluminação pública</t>
  </si>
  <si>
    <t>Coleta e tratamento de resíduos sólidos</t>
  </si>
  <si>
    <t>Aquisição de equipamentos e insumos</t>
  </si>
  <si>
    <t>Elaboração de estudos e projetos</t>
  </si>
  <si>
    <t>Instrumentos e ações em planejamento e gestão pública</t>
  </si>
  <si>
    <t>Unidades habitacionais</t>
  </si>
  <si>
    <t>Equipamentos comunitários</t>
  </si>
  <si>
    <t>Regularização fundiária</t>
  </si>
  <si>
    <t xml:space="preserve">Acondicionamento </t>
  </si>
  <si>
    <t xml:space="preserve">Tratamento local </t>
  </si>
  <si>
    <t xml:space="preserve">Usinas de reciclagem </t>
  </si>
  <si>
    <t>Aquisição</t>
  </si>
  <si>
    <t>Saúde</t>
  </si>
  <si>
    <t>Pavimentação de vias</t>
  </si>
  <si>
    <t>Projeto de Regularização Fundiária</t>
  </si>
  <si>
    <t>Adução</t>
  </si>
  <si>
    <t>Gerenciamento</t>
  </si>
  <si>
    <t>Reforma e/ou melhoria</t>
  </si>
  <si>
    <t>Pavimentação de calçadas</t>
  </si>
  <si>
    <t>Captação subterrânea</t>
  </si>
  <si>
    <t>Captação superficial</t>
  </si>
  <si>
    <t>Emissário</t>
  </si>
  <si>
    <t>Canalização de cursos de água</t>
  </si>
  <si>
    <t>Estação de Tratamento de Água (ETA)</t>
  </si>
  <si>
    <t>Sinalização</t>
  </si>
  <si>
    <t>Estação Elevatória</t>
  </si>
  <si>
    <t>Desassoreamento de cursos de água</t>
  </si>
  <si>
    <t>Rede de distribuição</t>
  </si>
  <si>
    <t>Reservação</t>
  </si>
  <si>
    <t>Sistema simplificado de abastecimento</t>
  </si>
  <si>
    <t>Sistema simplificado de tratamento</t>
  </si>
  <si>
    <t>Segurança pública</t>
  </si>
  <si>
    <t>Esportes</t>
  </si>
  <si>
    <t>Educação e cultura</t>
  </si>
  <si>
    <t>Lazer e turismo</t>
  </si>
  <si>
    <t xml:space="preserve">Obras de microdrenagem </t>
  </si>
  <si>
    <t>Desapropriacões/Indenizações</t>
  </si>
  <si>
    <t>Sistema de coleta seletiva tradicional, transporte e/ou equipamentos</t>
  </si>
  <si>
    <t>Ligações domiciliares e/ou intradomiciliares</t>
  </si>
  <si>
    <t>Recomposição de vegetação ciliar, renaturalização de cursos de água ou restauração de margens</t>
  </si>
  <si>
    <t>Convivência comunitária, assistência social e/ou comunitária</t>
  </si>
  <si>
    <t xml:space="preserve">Drenagem </t>
  </si>
  <si>
    <t>Trabalho social</t>
  </si>
  <si>
    <t>Avaliação pós intervenção</t>
  </si>
  <si>
    <t>Plano de Reassentamento e medidas compensatórias</t>
  </si>
  <si>
    <t>Ações complementares às obras</t>
  </si>
  <si>
    <t>m</t>
  </si>
  <si>
    <t>m²</t>
  </si>
  <si>
    <t>un</t>
  </si>
  <si>
    <t>m³</t>
  </si>
  <si>
    <t>Construção</t>
  </si>
  <si>
    <t>Linha de recalque</t>
  </si>
  <si>
    <t>Estação de bombeamento de água bruta</t>
  </si>
  <si>
    <t>Estação de bombeamento de água tratada</t>
  </si>
  <si>
    <t>m³/s</t>
  </si>
  <si>
    <t>Demolições</t>
  </si>
  <si>
    <t>Aquisição de terreno</t>
  </si>
  <si>
    <t>Obras de artes especiais</t>
  </si>
  <si>
    <t>Reservatório de amortecimento de cheias</t>
  </si>
  <si>
    <t>Rede coletora e/ou condominial</t>
  </si>
  <si>
    <t>Coletor tronco e/ou interceptores</t>
  </si>
  <si>
    <t>Estação de Tratamento de Esgoto (ETE)</t>
  </si>
  <si>
    <t>Unidades sanitárias</t>
  </si>
  <si>
    <t>Iluminação pública - luminárias</t>
  </si>
  <si>
    <t xml:space="preserve">Linhas de distribuição - baixa tensão </t>
  </si>
  <si>
    <t xml:space="preserve">Linhas de transmissão - alta tensão </t>
  </si>
  <si>
    <t>Aterro sanitário e/ou disposição final</t>
  </si>
  <si>
    <t>Erradicação de lixões</t>
  </si>
  <si>
    <t xml:space="preserve">Contenção e estabilização de encostas </t>
  </si>
  <si>
    <t>Estabilização de taludes</t>
  </si>
  <si>
    <t>Obras complementares a ações de redução de risco e/ou contenções</t>
  </si>
  <si>
    <t>%CT</t>
  </si>
  <si>
    <t>QCI - QUADRO DE COMPOSIÇÃO DO INVESTIMENTO</t>
  </si>
  <si>
    <t>Ligações domiciliares</t>
  </si>
  <si>
    <t>SALDO A REPROGRAMAR</t>
  </si>
  <si>
    <t>Investimento</t>
  </si>
  <si>
    <t>TOTAL - ETAPA</t>
  </si>
  <si>
    <t>Situação</t>
  </si>
  <si>
    <t>Qnt</t>
  </si>
  <si>
    <t>Un</t>
  </si>
  <si>
    <t>TOTAL</t>
  </si>
  <si>
    <t>Acumulado (%)</t>
  </si>
  <si>
    <t>CFF-CT - CRONOGRAMA FÍSICO FINANCEIRO DO CONTRATO</t>
  </si>
  <si>
    <t>-</t>
  </si>
  <si>
    <t>nº fam</t>
  </si>
  <si>
    <t>Projeto de Trabalho Social Preliminar</t>
  </si>
  <si>
    <t>Projeto de Trabalho Social</t>
  </si>
  <si>
    <t>Plano de Desenvolvimento Socioterritorial</t>
  </si>
  <si>
    <t>Nº TC/CR</t>
  </si>
  <si>
    <t>Nº CONVENIO</t>
  </si>
  <si>
    <t>GESTOR</t>
  </si>
  <si>
    <t>PROGRAMA</t>
  </si>
  <si>
    <t>AÇÃO / MODALIDADE</t>
  </si>
  <si>
    <t>DATA DE ASSINATURA</t>
  </si>
  <si>
    <t>PROPONENTE / TOMADOR</t>
  </si>
  <si>
    <t>OBJETO</t>
  </si>
  <si>
    <t>DESCRIÇÃO DO EMPREENDIMENTO</t>
  </si>
  <si>
    <t>LOCALIDADE / ENDEREÇO</t>
  </si>
  <si>
    <t>APELIDO DO EMPREENDIMENTO</t>
  </si>
  <si>
    <t>Meta / 
Sub-Meta</t>
  </si>
  <si>
    <t>Item de Investimento</t>
  </si>
  <si>
    <t>Sub-Item de Investimento</t>
  </si>
  <si>
    <t>Descrição</t>
  </si>
  <si>
    <t>Lote de Licitação / nº CTEF</t>
  </si>
  <si>
    <t>Lotes</t>
  </si>
  <si>
    <t>Adm. Direta</t>
  </si>
  <si>
    <t>Nº Meta</t>
  </si>
  <si>
    <t>Nº Sub-Meta</t>
  </si>
  <si>
    <t>Lote 1</t>
  </si>
  <si>
    <t>MUNICÍPIO / UF</t>
  </si>
  <si>
    <t>Data:</t>
  </si>
  <si>
    <t>Local:</t>
  </si>
  <si>
    <t>Somar Meta</t>
  </si>
  <si>
    <t>Parcela</t>
  </si>
  <si>
    <t>Nº de Parcelas</t>
  </si>
  <si>
    <t>Acumulado</t>
  </si>
  <si>
    <t>Valores Totais (R$)</t>
  </si>
  <si>
    <t>(%)</t>
  </si>
  <si>
    <t>CP (R$)</t>
  </si>
  <si>
    <t>Invest. (R$)</t>
  </si>
  <si>
    <t>Contrapartida Financeira</t>
  </si>
  <si>
    <t>Contrapartida Física</t>
  </si>
  <si>
    <t>Investimento (R$)</t>
  </si>
  <si>
    <t>Acum. incluindo o Período</t>
  </si>
  <si>
    <t>Contrapartida Física (R$)</t>
  </si>
  <si>
    <t>#PUBLICO</t>
  </si>
  <si>
    <t>Grau de Sigilo</t>
  </si>
  <si>
    <t>Acum. Período Anterior</t>
  </si>
  <si>
    <t>No Período</t>
  </si>
  <si>
    <t>Contrapartida Financ. (R$)</t>
  </si>
  <si>
    <t># PÚBLICO</t>
  </si>
  <si>
    <t>À</t>
  </si>
  <si>
    <t>CAIXA ECONÔMICA FEDERAL</t>
  </si>
  <si>
    <t>Assunto:</t>
  </si>
  <si>
    <t>Solicitação de Liberação de Recursos</t>
  </si>
  <si>
    <t>REF:</t>
  </si>
  <si>
    <t>Contrato de Repasse nº:</t>
  </si>
  <si>
    <t>Objeto:</t>
  </si>
  <si>
    <t>Nome do Fornecedor:</t>
  </si>
  <si>
    <t>CNPJ:</t>
  </si>
  <si>
    <t>Valor (R$):</t>
  </si>
  <si>
    <t>Atenciosamente,</t>
  </si>
  <si>
    <t>Proponente / Tomador:</t>
  </si>
  <si>
    <t>CTEF:</t>
  </si>
  <si>
    <t>Rel. Forn.</t>
  </si>
  <si>
    <t>CTEF</t>
  </si>
  <si>
    <t>QCI - Quadro de Composição do Investimento / RRE - Relatório Resumo do Empreendimento</t>
  </si>
  <si>
    <t>INSTRUÇÕES DE USO E PREENCHIMENTO</t>
  </si>
  <si>
    <t>1. Este documento somente pode ser utilizado nas versões do Excel 2003 ou superior. Não deve ser utilizado versões do BROffice.</t>
  </si>
  <si>
    <t>2. Para funcionamento pleno desse arquivo, a Segurança de Macros do Excel deve ser habilitada.</t>
  </si>
  <si>
    <t>4. Ordem de Preenchimento</t>
  </si>
  <si>
    <t>4.1. Fase de Análise</t>
  </si>
  <si>
    <t>4.2. Fase de Licitação</t>
  </si>
  <si>
    <t>4.2.1. Atualize os Dados do QCI e Cronograma Físico-Financeiro.</t>
  </si>
  <si>
    <t>4.3. Fase de Solicitação de Recursos</t>
  </si>
  <si>
    <t>4.3.1. Preencha os Dados da Medição na Aba RRE - Relatório Resumo do Empreendimento.</t>
  </si>
  <si>
    <t>4.3.2. Preencha os Campos na Aba Ofício, para o Ofício de Solicitação de Recursos e Relação de Fornecedores.</t>
  </si>
  <si>
    <t>firstrow1</t>
  </si>
  <si>
    <t>lastrow1</t>
  </si>
  <si>
    <t>lastcol1</t>
  </si>
  <si>
    <t>firstcol1</t>
  </si>
  <si>
    <t>GIGOV</t>
  </si>
  <si>
    <t>VALORES DO CONTRATO (R$):</t>
  </si>
  <si>
    <t>DD - DOURADOS</t>
  </si>
  <si>
    <t>TR - SANTAREM</t>
  </si>
  <si>
    <t>MB - MARABA</t>
  </si>
  <si>
    <t>BE - BELEM</t>
  </si>
  <si>
    <t>BR - BRASILIA</t>
  </si>
  <si>
    <t>CG - CAMPO GRANDE</t>
  </si>
  <si>
    <t>CB - CUIABA</t>
  </si>
  <si>
    <t>GO - GOIANIA</t>
  </si>
  <si>
    <t>MN - MANAUS</t>
  </si>
  <si>
    <t>PM - PALMAS</t>
  </si>
  <si>
    <t>AN - ANAPOLIS</t>
  </si>
  <si>
    <t>PV - PORTO VELHO</t>
  </si>
  <si>
    <t>RB - RIO BRANCO</t>
  </si>
  <si>
    <t>BV - BOA VISTA</t>
  </si>
  <si>
    <t>MC - MACAPA</t>
  </si>
  <si>
    <t>JN - JUAZEIRO DO NORTE</t>
  </si>
  <si>
    <t>LI - PETROLINA</t>
  </si>
  <si>
    <t>BI - BARREIRAS</t>
  </si>
  <si>
    <t>VC - VITORIA DA CONQUISTA</t>
  </si>
  <si>
    <t>AJ - ARACAJU</t>
  </si>
  <si>
    <t>FO - FORTALEZA</t>
  </si>
  <si>
    <t>JP - JOAO PESSOA</t>
  </si>
  <si>
    <t>ME - MACEIO</t>
  </si>
  <si>
    <t>NA - NATAL</t>
  </si>
  <si>
    <t>RE - RECIFE</t>
  </si>
  <si>
    <t>SA - SALVADOR</t>
  </si>
  <si>
    <t>SL - SAO LUIS</t>
  </si>
  <si>
    <t>TE -  TERESINA</t>
  </si>
  <si>
    <t>CA  - CARUARU</t>
  </si>
  <si>
    <t>FS  - FEIRA DE SANTANA</t>
  </si>
  <si>
    <t>IT - ITABUNA</t>
  </si>
  <si>
    <t>PL - PELOTAS</t>
  </si>
  <si>
    <t>NH - NOVO HAMBURGO</t>
  </si>
  <si>
    <t>PG - PONTA GROSSA</t>
  </si>
  <si>
    <t>CT - CURITIBA</t>
  </si>
  <si>
    <t>FL - FLORIANOPOLIS</t>
  </si>
  <si>
    <t>PO - PORTO ALEGRE</t>
  </si>
  <si>
    <t>BL - BLUMENAU</t>
  </si>
  <si>
    <t>CV  - CASCAVEL</t>
  </si>
  <si>
    <t>CX - CAXIAS DO SUL</t>
  </si>
  <si>
    <t>CH - CHAPECO</t>
  </si>
  <si>
    <t>LD - LONDRINA</t>
  </si>
  <si>
    <t>SM - SANTA MARIA</t>
  </si>
  <si>
    <t>CR - CRICIUMA</t>
  </si>
  <si>
    <t>JV - JOINVILLE</t>
  </si>
  <si>
    <t>MR - MARINGA</t>
  </si>
  <si>
    <t>PF - PASSO FUNDO</t>
  </si>
  <si>
    <t>MO - MONTES CLAROS</t>
  </si>
  <si>
    <t>BH - BELO HORIZONTE</t>
  </si>
  <si>
    <t>RJ - RIO DE JANEIRO</t>
  </si>
  <si>
    <t>VT - VITORIA</t>
  </si>
  <si>
    <t>NT - NITEROI</t>
  </si>
  <si>
    <t>CM - CAMPOS DOS GOYTACAZES</t>
  </si>
  <si>
    <t>GV - GOVERNADOR VALADARES</t>
  </si>
  <si>
    <t>JF - JUIZ DE FORA</t>
  </si>
  <si>
    <t>PC - POCOS DE CALDAS</t>
  </si>
  <si>
    <t>VR - VOLTA REDONDA</t>
  </si>
  <si>
    <t>UB - UBERLANDIA</t>
  </si>
  <si>
    <t>DV - DIVINOPOLIS</t>
  </si>
  <si>
    <t>OS - OSASCO</t>
  </si>
  <si>
    <t>SD - SANTO ANDRE</t>
  </si>
  <si>
    <t>SP - SAO PAULO</t>
  </si>
  <si>
    <t>ST - SANTOS</t>
  </si>
  <si>
    <t>BU - BAURU</t>
  </si>
  <si>
    <t>CP - CAMPINAS</t>
  </si>
  <si>
    <t>JD - JUNDIAI</t>
  </si>
  <si>
    <t>PK - PIRACICABA</t>
  </si>
  <si>
    <t>PP - PRESIDENTE PRUDENTE</t>
  </si>
  <si>
    <t>RP - RIBEIRAO PRETO</t>
  </si>
  <si>
    <t>SR - SAO JOSE DO RIO PRETO</t>
  </si>
  <si>
    <t>SJ - SAO JOSE DOS CAMPOS</t>
  </si>
  <si>
    <t>SO - SOROCABA</t>
  </si>
  <si>
    <t>Nome:</t>
  </si>
  <si>
    <t>Cargo:</t>
  </si>
  <si>
    <t>Representante Tomador / Agente Promotor</t>
  </si>
  <si>
    <t>Execução Física Acum. (%)</t>
  </si>
  <si>
    <t>Execução Física:</t>
  </si>
  <si>
    <t>Contrapartida Financeira:</t>
  </si>
  <si>
    <t>Investimento:</t>
  </si>
  <si>
    <t>Valores Acumulados</t>
  </si>
  <si>
    <t>Senhor Gerente</t>
  </si>
  <si>
    <t>CONTRAPARTIDA</t>
  </si>
  <si>
    <t>INVESTIMENTO</t>
  </si>
  <si>
    <t>2. Observações:</t>
  </si>
  <si>
    <t>2.1  Na Versão Excel 2003, selecione na Faixa de Opções: Ferramentas --&gt; Macro --&gt; Segurança --&gt; Na aba Nível de Segurança selecione a Opção "Baixo" --&gt; Clique em OK --&gt; Feche e abra o Excel novamente para utilizar a Planilha.</t>
  </si>
  <si>
    <t>2.2 Na Versão Excel 2007 ou superior, selecione na Faixa de Opções: Arquivo --&gt; Opções --&gt; Central de Confiabilidade --&gt; Configurações da Central de Confiabilidade --&gt; Configurações de Macro --&gt; Habilitar todas as Macros --&gt; Clique em OK --&gt; Feche e abra o excel novamente para utilizar a Planilha.</t>
  </si>
  <si>
    <t>3. O Preenchimento deve ser feito somente nas células em amarelo. As outras células são de preenchimento Automático.</t>
  </si>
  <si>
    <t>Plano de Gestão Condominial</t>
  </si>
  <si>
    <t>Valor Total (R$)</t>
  </si>
  <si>
    <t>Contrapartida Financeira (R$)</t>
  </si>
  <si>
    <t>4.1.3. Preencha os Campos das Metas na Aba QCI - Quadro de Composição de Investimento.</t>
  </si>
  <si>
    <t>4.1.4. Preencha os Campos das Parcelas de Desembolso na Aba Crono - CFF-CT - Cronograma Físico-Financeiro do Contrato.</t>
  </si>
  <si>
    <t>blankfield1</t>
  </si>
  <si>
    <t>4.1.1. Primeiramente, preencha no Quadro abaixo os Dados do TC/CR:</t>
  </si>
  <si>
    <t>sumvalue1</t>
  </si>
  <si>
    <t>sumvalue2</t>
  </si>
  <si>
    <t>Parcela (%)</t>
  </si>
  <si>
    <t>Tipo de Cronograma</t>
  </si>
  <si>
    <t>Início Previsto</t>
  </si>
  <si>
    <t>Altura</t>
  </si>
  <si>
    <t>Total Etapa</t>
  </si>
  <si>
    <t>GIGOVs</t>
  </si>
  <si>
    <t>Itens de Investimento</t>
  </si>
  <si>
    <t>Sub-Itens de Investimento</t>
  </si>
  <si>
    <t>Inicial</t>
  </si>
  <si>
    <t>Solicitação nº:</t>
  </si>
  <si>
    <t>Acum. Incluindo o Período</t>
  </si>
  <si>
    <t>Percentual previsto em:</t>
  </si>
  <si>
    <t>Situação do TC/CR:</t>
  </si>
  <si>
    <t>Capeamento de vias</t>
  </si>
  <si>
    <t>Recapeamento de vias</t>
  </si>
  <si>
    <t>RRET</t>
  </si>
  <si>
    <t>colvalue1</t>
  </si>
  <si>
    <t>colvalue2</t>
  </si>
  <si>
    <t>4.1.2. Clique no botão "Preencher QCI" ao lado.</t>
  </si>
  <si>
    <t>1. Informamos abaixo a relação de fornecedores para a Solicitação de Recursos referenciada:</t>
  </si>
  <si>
    <t>Ofício n°:</t>
  </si>
  <si>
    <t>CP Financ</t>
  </si>
  <si>
    <t>CP Fis</t>
  </si>
  <si>
    <t>Inv.</t>
  </si>
  <si>
    <t>colvalue3</t>
  </si>
  <si>
    <t>Máx</t>
  </si>
  <si>
    <t>Anterior</t>
  </si>
  <si>
    <t>Acum.</t>
  </si>
  <si>
    <t>Acum. Previsto</t>
  </si>
  <si>
    <t>Acum. Chegada</t>
  </si>
  <si>
    <t/>
  </si>
  <si>
    <t>OGU</t>
  </si>
  <si>
    <t>RECURSO</t>
  </si>
  <si>
    <t>SWAP RRE</t>
  </si>
  <si>
    <t>Período Acum.</t>
  </si>
  <si>
    <t>colswap1</t>
  </si>
  <si>
    <t>colswap2</t>
  </si>
  <si>
    <t>colvalue4</t>
  </si>
  <si>
    <t>1. Vimos pelo presente, solicitar a essa CAIXA ECONÔMICA FEDERAL a autorização da liberação de recursos do Contrato em referência, no valor abaixo discriminado e, para tanto, anexamos a documentação necessária ao pleito.</t>
  </si>
  <si>
    <t>v005</t>
  </si>
  <si>
    <t>Nova Friburgo / RJ</t>
  </si>
  <si>
    <t>Em Análise</t>
  </si>
  <si>
    <t>Serviços de escritório, laboratório e campo</t>
  </si>
  <si>
    <t>Estrutura</t>
  </si>
  <si>
    <t>Alvenaria / Revestimento / Pavimentação</t>
  </si>
  <si>
    <t>Esquadrias</t>
  </si>
  <si>
    <t>Sub-Meta</t>
  </si>
  <si>
    <t>Cobertura</t>
  </si>
  <si>
    <t>PREFEITO MUNICIPAL</t>
  </si>
  <si>
    <t>REFORMA DO PAVILHÃO DAS ARTES</t>
  </si>
  <si>
    <t>Instalações Hidrálicas e Sanitárias</t>
  </si>
  <si>
    <t>Instalações Elétricas</t>
  </si>
  <si>
    <t>Pintura e Limpeza</t>
  </si>
  <si>
    <t>Movimento de Terra</t>
  </si>
  <si>
    <t>PREFEITURA MUNICIPAL DE NOVA FRIBURGO</t>
  </si>
  <si>
    <t>852995/2017</t>
  </si>
  <si>
    <t>REFORMA DE UNIDADE DE ATENÇÃO ESPECIALIZADA EM SAÚDE</t>
  </si>
  <si>
    <t>REFORMA DO BANDO DE LEITE DO HOSPITAL MATERNIDADE DR. MARIO DUTRA DE CASTRO</t>
  </si>
  <si>
    <t>REFORMA DE UNIDADE DE ATENÇÃO ESPECIALIZADA EM SAÚDE DE NOVA FRIBURGO</t>
  </si>
  <si>
    <t>CENTRO - NOVA FRIBURGO</t>
  </si>
  <si>
    <t>Instalações Especiais</t>
  </si>
  <si>
    <t>MINISTÉRIO DA SAÚDE</t>
  </si>
  <si>
    <t>PROGRAMA DE REDE CEGONHA</t>
  </si>
  <si>
    <t>EXECUÇÃO DE AÇÕES RELATIVAS AO PROGRAMA REDE CEGONHA</t>
  </si>
  <si>
    <t>JOHNNY MAYCON CORDEIRO RIBEIRO</t>
  </si>
  <si>
    <t>Nova Friburgo - RJ -07 de Julho de 2022</t>
  </si>
</sst>
</file>

<file path=xl/styles.xml><?xml version="1.0" encoding="utf-8"?>
<styleSheet xmlns="http://schemas.openxmlformats.org/spreadsheetml/2006/main">
  <numFmts count="6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  <numFmt numFmtId="165" formatCode="#,##0.00_ ;\-#,##0.00\ "/>
    <numFmt numFmtId="166" formatCode="[$-F800]dddd\,\ mmmm\ dd\,\ yyyy"/>
    <numFmt numFmtId="167" formatCode="&quot;R$ &quot;#,##0.00"/>
    <numFmt numFmtId="168" formatCode="[$-416]mmm\-yy;@"/>
  </numFmts>
  <fonts count="37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b/>
      <sz val="18"/>
      <color indexed="54"/>
      <name val="Calibri Light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10"/>
      <color indexed="55"/>
      <name val="Arial"/>
      <family val="2"/>
    </font>
    <font>
      <sz val="10"/>
      <color indexed="22"/>
      <name val="Arial"/>
      <family val="2"/>
    </font>
    <font>
      <sz val="10"/>
      <color indexed="55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lightUp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8" borderId="0" applyNumberFormat="0" applyBorder="0" applyAlignment="0" applyProtection="0"/>
    <xf numFmtId="0" fontId="23" fillId="10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2" borderId="0" applyNumberFormat="0" applyBorder="0" applyAlignment="0" applyProtection="0"/>
    <xf numFmtId="0" fontId="13" fillId="17" borderId="0" applyNumberFormat="0" applyBorder="0" applyAlignment="0" applyProtection="0"/>
    <xf numFmtId="0" fontId="17" fillId="9" borderId="1" applyNumberFormat="0" applyAlignment="0" applyProtection="0"/>
    <xf numFmtId="0" fontId="19" fillId="14" borderId="2" applyNumberFormat="0" applyAlignment="0" applyProtection="0"/>
    <xf numFmtId="0" fontId="23" fillId="0" borderId="0"/>
    <xf numFmtId="0" fontId="2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3" borderId="1" applyNumberFormat="0" applyAlignment="0" applyProtection="0"/>
    <xf numFmtId="0" fontId="18" fillId="0" borderId="6" applyNumberFormat="0" applyFill="0" applyAlignment="0" applyProtection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10" borderId="0" applyNumberFormat="0" applyBorder="0" applyAlignment="0" applyProtection="0"/>
    <xf numFmtId="0" fontId="3" fillId="0" borderId="0"/>
    <xf numFmtId="0" fontId="2" fillId="0" borderId="0"/>
    <xf numFmtId="0" fontId="1" fillId="5" borderId="7" applyNumberFormat="0" applyFont="0" applyAlignment="0" applyProtection="0"/>
    <xf numFmtId="0" fontId="16" fillId="9" borderId="8" applyNumberFormat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45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/>
    <xf numFmtId="0" fontId="5" fillId="0" borderId="0" xfId="0" applyFont="1" applyProtection="1"/>
    <xf numFmtId="0" fontId="0" fillId="0" borderId="0" xfId="0" applyAlignment="1" applyProtection="1">
      <alignment vertical="center" wrapText="1"/>
    </xf>
    <xf numFmtId="0" fontId="6" fillId="0" borderId="0" xfId="0" applyFont="1" applyProtection="1"/>
    <xf numFmtId="0" fontId="0" fillId="0" borderId="0" xfId="0" applyBorder="1" applyAlignment="1" applyProtection="1">
      <alignment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1" fillId="0" borderId="0" xfId="0" applyFont="1" applyProtection="1"/>
    <xf numFmtId="0" fontId="0" fillId="0" borderId="0" xfId="0" applyAlignment="1">
      <alignment horizontal="left"/>
    </xf>
    <xf numFmtId="0" fontId="8" fillId="0" borderId="0" xfId="0" applyFont="1" applyProtection="1"/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Fill="1" applyAlignment="1" applyProtection="1">
      <protection locked="0"/>
    </xf>
    <xf numFmtId="0" fontId="7" fillId="0" borderId="9" xfId="0" applyFont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10" fontId="1" fillId="18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right"/>
    </xf>
    <xf numFmtId="0" fontId="3" fillId="0" borderId="9" xfId="0" applyFont="1" applyBorder="1" applyAlignment="1" applyProtection="1">
      <alignment horizontal="right"/>
    </xf>
    <xf numFmtId="10" fontId="5" fillId="19" borderId="10" xfId="37" applyNumberFormat="1" applyFont="1" applyFill="1" applyBorder="1" applyAlignment="1" applyProtection="1">
      <alignment vertical="center" wrapText="1"/>
    </xf>
    <xf numFmtId="0" fontId="0" fillId="0" borderId="0" xfId="0" applyBorder="1" applyProtection="1"/>
    <xf numFmtId="0" fontId="26" fillId="0" borderId="0" xfId="40" applyFont="1" applyFill="1" applyBorder="1" applyAlignment="1" applyProtection="1">
      <alignment horizontal="left"/>
    </xf>
    <xf numFmtId="0" fontId="3" fillId="0" borderId="0" xfId="40"/>
    <xf numFmtId="0" fontId="2" fillId="0" borderId="0" xfId="40" applyFont="1" applyFill="1" applyBorder="1" applyAlignment="1" applyProtection="1">
      <alignment horizontal="left"/>
    </xf>
    <xf numFmtId="0" fontId="2" fillId="0" borderId="9" xfId="0" applyFont="1" applyBorder="1" applyAlignment="1" applyProtection="1">
      <alignment horizontal="right"/>
    </xf>
    <xf numFmtId="0" fontId="24" fillId="0" borderId="0" xfId="0" applyFont="1" applyBorder="1" applyAlignment="1" applyProtection="1">
      <alignment vertical="center" wrapText="1"/>
    </xf>
    <xf numFmtId="0" fontId="5" fillId="0" borderId="0" xfId="0" applyFont="1" applyFill="1" applyProtection="1"/>
    <xf numFmtId="0" fontId="32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3" fillId="20" borderId="0" xfId="0" applyFont="1" applyFill="1" applyBorder="1" applyAlignment="1" applyProtection="1">
      <alignment wrapText="1"/>
    </xf>
    <xf numFmtId="0" fontId="0" fillId="0" borderId="0" xfId="0" applyAlignment="1" applyProtection="1">
      <alignment horizontal="left" wrapText="1"/>
    </xf>
    <xf numFmtId="0" fontId="0" fillId="0" borderId="0" xfId="0" applyFill="1" applyProtection="1"/>
    <xf numFmtId="0" fontId="3" fillId="0" borderId="0" xfId="0" applyFont="1" applyProtection="1"/>
    <xf numFmtId="0" fontId="8" fillId="0" borderId="0" xfId="0" applyFont="1" applyFill="1" applyAlignment="1" applyProtection="1"/>
    <xf numFmtId="44" fontId="24" fillId="0" borderId="12" xfId="37" applyNumberFormat="1" applyFont="1" applyFill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vertical="center" wrapText="1"/>
    </xf>
    <xf numFmtId="0" fontId="1" fillId="0" borderId="0" xfId="0" applyFont="1" applyFill="1" applyAlignment="1" applyProtection="1"/>
    <xf numFmtId="0" fontId="1" fillId="0" borderId="0" xfId="0" applyFont="1" applyAlignment="1" applyProtection="1">
      <alignment vertical="center" wrapText="1"/>
    </xf>
    <xf numFmtId="0" fontId="3" fillId="0" borderId="0" xfId="40" applyProtection="1"/>
    <xf numFmtId="0" fontId="26" fillId="0" borderId="0" xfId="40" applyFont="1" applyFill="1" applyBorder="1" applyAlignment="1" applyProtection="1">
      <alignment vertical="top"/>
    </xf>
    <xf numFmtId="0" fontId="2" fillId="0" borderId="0" xfId="40" applyNumberFormat="1" applyFont="1" applyFill="1" applyBorder="1" applyAlignment="1" applyProtection="1">
      <alignment horizontal="left"/>
    </xf>
    <xf numFmtId="0" fontId="3" fillId="0" borderId="0" xfId="40" applyFont="1" applyProtection="1"/>
    <xf numFmtId="0" fontId="27" fillId="0" borderId="0" xfId="40" applyFont="1" applyBorder="1" applyAlignment="1" applyProtection="1">
      <alignment wrapText="1"/>
    </xf>
    <xf numFmtId="0" fontId="27" fillId="0" borderId="0" xfId="40" applyFont="1" applyAlignment="1" applyProtection="1">
      <alignment wrapText="1"/>
    </xf>
    <xf numFmtId="0" fontId="3" fillId="0" borderId="0" xfId="40" applyAlignment="1" applyProtection="1">
      <alignment horizontal="center"/>
    </xf>
    <xf numFmtId="10" fontId="0" fillId="0" borderId="0" xfId="0" applyNumberFormat="1" applyAlignment="1" applyProtection="1"/>
    <xf numFmtId="0" fontId="0" fillId="0" borderId="0" xfId="0" applyBorder="1"/>
    <xf numFmtId="0" fontId="0" fillId="18" borderId="11" xfId="0" applyFill="1" applyBorder="1" applyAlignment="1" applyProtection="1">
      <alignment horizontal="left" vertical="top" wrapText="1"/>
      <protection locked="0"/>
    </xf>
    <xf numFmtId="14" fontId="0" fillId="18" borderId="11" xfId="0" applyNumberFormat="1" applyFill="1" applyBorder="1" applyAlignment="1" applyProtection="1">
      <alignment horizontal="left" vertical="top" wrapText="1"/>
      <protection locked="0"/>
    </xf>
    <xf numFmtId="4" fontId="0" fillId="18" borderId="11" xfId="0" applyNumberFormat="1" applyFill="1" applyBorder="1" applyAlignment="1" applyProtection="1">
      <alignment horizontal="left" vertical="top" wrapText="1"/>
      <protection locked="0"/>
    </xf>
    <xf numFmtId="4" fontId="0" fillId="0" borderId="11" xfId="0" applyNumberFormat="1" applyFill="1" applyBorder="1" applyAlignment="1" applyProtection="1">
      <alignment horizontal="left" vertical="top" wrapText="1"/>
    </xf>
    <xf numFmtId="0" fontId="5" fillId="0" borderId="0" xfId="41" applyFont="1" applyBorder="1" applyAlignment="1" applyProtection="1">
      <alignment vertical="top"/>
    </xf>
    <xf numFmtId="0" fontId="5" fillId="0" borderId="13" xfId="41" applyFont="1" applyBorder="1" applyAlignment="1" applyProtection="1">
      <alignment vertical="top" wrapText="1"/>
    </xf>
    <xf numFmtId="0" fontId="5" fillId="0" borderId="0" xfId="41" applyFont="1" applyBorder="1" applyAlignment="1" applyProtection="1">
      <alignment vertical="top" wrapText="1"/>
    </xf>
    <xf numFmtId="0" fontId="0" fillId="0" borderId="13" xfId="0" applyBorder="1" applyProtection="1"/>
    <xf numFmtId="0" fontId="0" fillId="0" borderId="13" xfId="0" applyBorder="1" applyAlignment="1" applyProtection="1">
      <alignment horizontal="center"/>
    </xf>
    <xf numFmtId="0" fontId="5" fillId="0" borderId="0" xfId="41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center" wrapText="1"/>
    </xf>
    <xf numFmtId="0" fontId="5" fillId="0" borderId="0" xfId="41" applyFont="1" applyBorder="1" applyAlignment="1" applyProtection="1">
      <alignment horizontal="right" vertical="top"/>
    </xf>
    <xf numFmtId="0" fontId="5" fillId="0" borderId="0" xfId="41" applyFont="1" applyBorder="1" applyAlignment="1" applyProtection="1">
      <alignment horizontal="left" vertical="top"/>
    </xf>
    <xf numFmtId="0" fontId="5" fillId="0" borderId="13" xfId="41" applyFont="1" applyBorder="1" applyAlignment="1" applyProtection="1">
      <alignment horizontal="left" vertical="top"/>
    </xf>
    <xf numFmtId="0" fontId="0" fillId="0" borderId="13" xfId="0" applyBorder="1" applyAlignment="1" applyProtection="1"/>
    <xf numFmtId="0" fontId="5" fillId="0" borderId="13" xfId="41" applyFont="1" applyBorder="1" applyAlignment="1" applyProtection="1">
      <alignment horizontal="right" vertical="top" wrapText="1"/>
    </xf>
    <xf numFmtId="0" fontId="5" fillId="0" borderId="9" xfId="41" applyFont="1" applyBorder="1" applyAlignment="1" applyProtection="1">
      <alignment vertical="top"/>
    </xf>
    <xf numFmtId="0" fontId="26" fillId="0" borderId="9" xfId="41" applyFont="1" applyBorder="1" applyAlignment="1" applyProtection="1">
      <alignment vertical="top"/>
    </xf>
    <xf numFmtId="0" fontId="2" fillId="0" borderId="0" xfId="40" applyNumberFormat="1" applyFont="1" applyFill="1" applyBorder="1" applyAlignment="1" applyProtection="1">
      <alignment vertical="top" wrapText="1"/>
    </xf>
    <xf numFmtId="0" fontId="2" fillId="0" borderId="0" xfId="40" applyNumberFormat="1" applyFont="1" applyFill="1" applyBorder="1" applyAlignment="1" applyProtection="1"/>
    <xf numFmtId="0" fontId="3" fillId="0" borderId="0" xfId="40" applyFont="1" applyBorder="1" applyAlignment="1" applyProtection="1">
      <alignment vertical="center"/>
    </xf>
    <xf numFmtId="0" fontId="2" fillId="0" borderId="0" xfId="40" applyNumberFormat="1" applyFont="1" applyFill="1" applyBorder="1" applyAlignment="1" applyProtection="1">
      <alignment vertical="top"/>
    </xf>
    <xf numFmtId="0" fontId="3" fillId="0" borderId="0" xfId="40" applyFont="1" applyAlignment="1" applyProtection="1">
      <alignment wrapText="1"/>
    </xf>
    <xf numFmtId="166" fontId="2" fillId="0" borderId="0" xfId="40" applyNumberFormat="1" applyFont="1" applyFill="1" applyBorder="1" applyAlignment="1" applyProtection="1">
      <alignment vertical="top"/>
    </xf>
    <xf numFmtId="0" fontId="27" fillId="0" borderId="13" xfId="40" applyFont="1" applyBorder="1" applyAlignment="1" applyProtection="1">
      <alignment wrapText="1"/>
    </xf>
    <xf numFmtId="0" fontId="3" fillId="0" borderId="0" xfId="40" applyFont="1" applyFill="1" applyBorder="1" applyAlignment="1" applyProtection="1">
      <alignment vertical="top" wrapText="1"/>
    </xf>
    <xf numFmtId="0" fontId="2" fillId="18" borderId="0" xfId="40" applyFont="1" applyFill="1" applyBorder="1" applyAlignment="1" applyProtection="1">
      <alignment horizontal="left"/>
      <protection locked="0"/>
    </xf>
    <xf numFmtId="0" fontId="3" fillId="0" borderId="0" xfId="40" applyBorder="1" applyAlignment="1" applyProtection="1"/>
    <xf numFmtId="0" fontId="3" fillId="0" borderId="13" xfId="40" applyBorder="1" applyProtection="1"/>
    <xf numFmtId="0" fontId="3" fillId="0" borderId="13" xfId="40" applyBorder="1" applyAlignment="1" applyProtection="1"/>
    <xf numFmtId="0" fontId="1" fillId="0" borderId="9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/>
    <xf numFmtId="0" fontId="3" fillId="0" borderId="0" xfId="40" applyBorder="1"/>
    <xf numFmtId="167" fontId="26" fillId="0" borderId="0" xfId="40" applyNumberFormat="1" applyFont="1" applyFill="1" applyBorder="1" applyAlignment="1" applyProtection="1">
      <alignment vertical="top"/>
    </xf>
    <xf numFmtId="10" fontId="26" fillId="0" borderId="0" xfId="40" applyNumberFormat="1" applyFont="1" applyFill="1" applyBorder="1" applyAlignment="1" applyProtection="1">
      <alignment vertical="top"/>
    </xf>
    <xf numFmtId="0" fontId="34" fillId="0" borderId="0" xfId="0" applyFont="1" applyFill="1" applyAlignment="1" applyProtection="1">
      <alignment horizontal="center"/>
    </xf>
    <xf numFmtId="0" fontId="8" fillId="0" borderId="0" xfId="37" applyNumberFormat="1" applyFont="1" applyAlignment="1" applyProtection="1">
      <alignment vertical="center" wrapText="1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168" fontId="1" fillId="18" borderId="10" xfId="0" applyNumberFormat="1" applyFont="1" applyFill="1" applyBorder="1" applyAlignment="1" applyProtection="1">
      <alignment horizontal="center" vertical="center" wrapText="1"/>
      <protection locked="0"/>
    </xf>
    <xf numFmtId="168" fontId="7" fillId="0" borderId="9" xfId="0" applyNumberFormat="1" applyFont="1" applyBorder="1" applyAlignment="1" applyProtection="1">
      <alignment horizontal="center" vertical="center" wrapText="1"/>
    </xf>
    <xf numFmtId="14" fontId="0" fillId="0" borderId="0" xfId="0" applyNumberFormat="1" applyProtection="1"/>
    <xf numFmtId="0" fontId="8" fillId="0" borderId="0" xfId="0" applyFont="1" applyAlignment="1" applyProtection="1">
      <alignment horizontal="center" vertical="center" wrapText="1"/>
    </xf>
    <xf numFmtId="10" fontId="5" fillId="19" borderId="14" xfId="37" applyNumberFormat="1" applyFont="1" applyFill="1" applyBorder="1" applyAlignment="1" applyProtection="1">
      <alignment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11" xfId="0" applyFont="1" applyBorder="1" applyAlignment="1" applyProtection="1">
      <alignment horizontal="left"/>
    </xf>
    <xf numFmtId="0" fontId="5" fillId="0" borderId="11" xfId="0" applyFont="1" applyBorder="1" applyAlignment="1" applyProtection="1">
      <alignment horizontal="center"/>
    </xf>
    <xf numFmtId="0" fontId="0" fillId="0" borderId="15" xfId="0" applyBorder="1"/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165" fontId="0" fillId="0" borderId="0" xfId="0" applyNumberFormat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/>
    <xf numFmtId="165" fontId="0" fillId="0" borderId="0" xfId="0" applyNumberFormat="1" applyBorder="1" applyAlignment="1" applyProtection="1"/>
    <xf numFmtId="0" fontId="5" fillId="0" borderId="17" xfId="0" applyFont="1" applyBorder="1" applyAlignment="1" applyProtection="1">
      <alignment horizontal="center"/>
    </xf>
    <xf numFmtId="168" fontId="5" fillId="0" borderId="18" xfId="0" applyNumberFormat="1" applyFont="1" applyBorder="1" applyAlignment="1" applyProtection="1">
      <alignment horizontal="center"/>
    </xf>
    <xf numFmtId="10" fontId="5" fillId="0" borderId="19" xfId="0" applyNumberFormat="1" applyFont="1" applyBorder="1" applyAlignment="1" applyProtection="1">
      <alignment horizontal="center"/>
    </xf>
    <xf numFmtId="0" fontId="24" fillId="0" borderId="20" xfId="0" applyFont="1" applyBorder="1" applyAlignment="1" applyProtection="1">
      <alignment horizontal="center"/>
    </xf>
    <xf numFmtId="0" fontId="24" fillId="0" borderId="21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0" fontId="31" fillId="0" borderId="0" xfId="0" applyFont="1" applyAlignment="1" applyProtection="1">
      <alignment horizontal="center" vertical="center" wrapText="1"/>
    </xf>
    <xf numFmtId="166" fontId="2" fillId="0" borderId="0" xfId="40" applyNumberFormat="1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 vertical="center" wrapText="1"/>
    </xf>
    <xf numFmtId="49" fontId="2" fillId="18" borderId="0" xfId="40" applyNumberFormat="1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/>
    <xf numFmtId="0" fontId="1" fillId="0" borderId="23" xfId="0" applyFont="1" applyFill="1" applyBorder="1" applyAlignment="1" applyProtection="1"/>
    <xf numFmtId="0" fontId="5" fillId="0" borderId="23" xfId="0" applyFont="1" applyBorder="1" applyProtection="1"/>
    <xf numFmtId="0" fontId="5" fillId="0" borderId="19" xfId="0" applyFont="1" applyBorder="1" applyProtection="1"/>
    <xf numFmtId="44" fontId="5" fillId="0" borderId="24" xfId="37" applyFont="1" applyFill="1" applyBorder="1" applyAlignment="1" applyProtection="1">
      <alignment vertical="center" shrinkToFit="1"/>
    </xf>
    <xf numFmtId="44" fontId="5" fillId="0" borderId="14" xfId="37" applyFont="1" applyFill="1" applyBorder="1" applyAlignment="1" applyProtection="1">
      <alignment vertical="center" shrinkToFit="1"/>
    </xf>
    <xf numFmtId="165" fontId="0" fillId="0" borderId="25" xfId="0" applyNumberFormat="1" applyBorder="1" applyAlignment="1" applyProtection="1">
      <alignment horizontal="center" shrinkToFit="1"/>
    </xf>
    <xf numFmtId="165" fontId="0" fillId="0" borderId="26" xfId="0" applyNumberFormat="1" applyBorder="1" applyAlignment="1" applyProtection="1">
      <alignment horizontal="center" shrinkToFit="1"/>
    </xf>
    <xf numFmtId="165" fontId="5" fillId="20" borderId="27" xfId="37" applyNumberFormat="1" applyFont="1" applyFill="1" applyBorder="1" applyAlignment="1" applyProtection="1">
      <alignment vertical="center" shrinkToFit="1"/>
    </xf>
    <xf numFmtId="165" fontId="5" fillId="20" borderId="12" xfId="37" applyNumberFormat="1" applyFont="1" applyFill="1" applyBorder="1" applyAlignment="1" applyProtection="1">
      <alignment vertical="center" shrinkToFit="1"/>
    </xf>
    <xf numFmtId="165" fontId="5" fillId="0" borderId="28" xfId="37" applyNumberFormat="1" applyFont="1" applyFill="1" applyBorder="1" applyAlignment="1" applyProtection="1">
      <alignment vertical="center" shrinkToFit="1"/>
    </xf>
    <xf numFmtId="165" fontId="5" fillId="0" borderId="10" xfId="37" applyNumberFormat="1" applyFont="1" applyFill="1" applyBorder="1" applyAlignment="1" applyProtection="1">
      <alignment vertical="center" shrinkToFit="1"/>
    </xf>
    <xf numFmtId="165" fontId="5" fillId="20" borderId="28" xfId="37" applyNumberFormat="1" applyFont="1" applyFill="1" applyBorder="1" applyAlignment="1" applyProtection="1">
      <alignment vertical="center" shrinkToFit="1"/>
    </xf>
    <xf numFmtId="165" fontId="5" fillId="20" borderId="10" xfId="37" applyNumberFormat="1" applyFont="1" applyFill="1" applyBorder="1" applyAlignment="1" applyProtection="1">
      <alignment vertical="center" shrinkToFit="1"/>
    </xf>
    <xf numFmtId="165" fontId="5" fillId="0" borderId="24" xfId="37" applyNumberFormat="1" applyFont="1" applyFill="1" applyBorder="1" applyAlignment="1" applyProtection="1">
      <alignment vertical="center" shrinkToFit="1"/>
    </xf>
    <xf numFmtId="165" fontId="5" fillId="0" borderId="29" xfId="37" applyNumberFormat="1" applyFont="1" applyFill="1" applyBorder="1" applyAlignment="1" applyProtection="1">
      <alignment vertical="center" shrinkToFit="1"/>
    </xf>
    <xf numFmtId="165" fontId="5" fillId="0" borderId="14" xfId="37" applyNumberFormat="1" applyFont="1" applyFill="1" applyBorder="1" applyAlignment="1" applyProtection="1">
      <alignment vertical="center" shrinkToFit="1"/>
    </xf>
    <xf numFmtId="165" fontId="5" fillId="20" borderId="14" xfId="37" applyNumberFormat="1" applyFont="1" applyFill="1" applyBorder="1" applyAlignment="1" applyProtection="1">
      <alignment vertical="center" shrinkToFit="1"/>
    </xf>
    <xf numFmtId="0" fontId="0" fillId="0" borderId="10" xfId="0" applyFill="1" applyBorder="1" applyProtection="1"/>
    <xf numFmtId="165" fontId="0" fillId="0" borderId="10" xfId="0" applyNumberFormat="1" applyFill="1" applyBorder="1" applyProtection="1"/>
    <xf numFmtId="0" fontId="1" fillId="0" borderId="0" xfId="0" applyFont="1" applyFill="1" applyAlignment="1" applyProtection="1">
      <alignment horizontal="center" wrapText="1"/>
    </xf>
    <xf numFmtId="0" fontId="5" fillId="0" borderId="10" xfId="0" applyFont="1" applyFill="1" applyBorder="1" applyProtection="1"/>
    <xf numFmtId="165" fontId="5" fillId="0" borderId="10" xfId="37" applyNumberFormat="1" applyFont="1" applyFill="1" applyBorder="1" applyAlignment="1" applyProtection="1">
      <alignment horizontal="right" vertical="center" shrinkToFit="1"/>
    </xf>
    <xf numFmtId="0" fontId="1" fillId="0" borderId="0" xfId="0" applyFont="1" applyFill="1" applyProtection="1"/>
    <xf numFmtId="0" fontId="1" fillId="0" borderId="0" xfId="0" applyFont="1" applyFill="1" applyAlignment="1" applyProtection="1">
      <alignment vertical="center" wrapText="1"/>
    </xf>
    <xf numFmtId="4" fontId="1" fillId="0" borderId="0" xfId="0" applyNumberFormat="1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center" vertical="center" wrapText="1"/>
    </xf>
    <xf numFmtId="10" fontId="0" fillId="0" borderId="0" xfId="0" applyNumberFormat="1" applyFill="1" applyAlignment="1" applyProtection="1"/>
    <xf numFmtId="165" fontId="5" fillId="20" borderId="30" xfId="37" applyNumberFormat="1" applyFont="1" applyFill="1" applyBorder="1" applyAlignment="1" applyProtection="1">
      <alignment vertical="center" shrinkToFit="1"/>
    </xf>
    <xf numFmtId="165" fontId="5" fillId="18" borderId="31" xfId="37" applyNumberFormat="1" applyFont="1" applyFill="1" applyBorder="1" applyAlignment="1" applyProtection="1">
      <alignment vertical="center" shrinkToFit="1"/>
      <protection locked="0"/>
    </xf>
    <xf numFmtId="165" fontId="5" fillId="20" borderId="31" xfId="37" applyNumberFormat="1" applyFont="1" applyFill="1" applyBorder="1" applyAlignment="1" applyProtection="1">
      <alignment vertical="center" shrinkToFit="1"/>
    </xf>
    <xf numFmtId="165" fontId="5" fillId="0" borderId="32" xfId="37" applyNumberFormat="1" applyFont="1" applyFill="1" applyBorder="1" applyAlignment="1" applyProtection="1">
      <alignment horizontal="right" vertical="center" shrinkToFit="1"/>
    </xf>
    <xf numFmtId="0" fontId="0" fillId="0" borderId="0" xfId="0" quotePrefix="1" applyFill="1" applyProtection="1"/>
    <xf numFmtId="44" fontId="24" fillId="0" borderId="33" xfId="37" applyNumberFormat="1" applyFont="1" applyFill="1" applyBorder="1" applyAlignment="1" applyProtection="1">
      <alignment horizontal="center" vertical="center" shrinkToFit="1"/>
    </xf>
    <xf numFmtId="10" fontId="5" fillId="19" borderId="15" xfId="37" applyNumberFormat="1" applyFont="1" applyFill="1" applyBorder="1" applyAlignment="1" applyProtection="1">
      <alignment vertical="center" wrapText="1"/>
    </xf>
    <xf numFmtId="44" fontId="5" fillId="0" borderId="34" xfId="37" applyFont="1" applyFill="1" applyBorder="1" applyAlignment="1" applyProtection="1">
      <alignment vertical="center" shrinkToFit="1"/>
    </xf>
    <xf numFmtId="44" fontId="24" fillId="0" borderId="35" xfId="37" applyNumberFormat="1" applyFont="1" applyFill="1" applyBorder="1" applyAlignment="1" applyProtection="1">
      <alignment horizontal="center" vertical="center" shrinkToFit="1"/>
    </xf>
    <xf numFmtId="10" fontId="5" fillId="19" borderId="36" xfId="37" applyNumberFormat="1" applyFont="1" applyFill="1" applyBorder="1" applyAlignment="1" applyProtection="1">
      <alignment vertical="center" wrapText="1"/>
    </xf>
    <xf numFmtId="44" fontId="5" fillId="0" borderId="37" xfId="37" applyFont="1" applyFill="1" applyBorder="1" applyAlignment="1" applyProtection="1">
      <alignment vertical="center" shrinkToFit="1"/>
    </xf>
    <xf numFmtId="0" fontId="26" fillId="18" borderId="0" xfId="40" applyFont="1" applyFill="1" applyBorder="1" applyAlignment="1" applyProtection="1">
      <alignment vertical="top"/>
      <protection locked="0"/>
    </xf>
    <xf numFmtId="0" fontId="0" fillId="21" borderId="9" xfId="0" applyFill="1" applyBorder="1" applyAlignment="1" applyProtection="1">
      <alignment vertical="center" wrapText="1"/>
    </xf>
    <xf numFmtId="0" fontId="0" fillId="21" borderId="38" xfId="0" applyFill="1" applyBorder="1" applyAlignment="1" applyProtection="1">
      <alignment vertical="center" wrapText="1"/>
    </xf>
    <xf numFmtId="0" fontId="0" fillId="21" borderId="39" xfId="0" applyFill="1" applyBorder="1" applyAlignment="1" applyProtection="1">
      <alignment vertical="center" wrapText="1"/>
    </xf>
    <xf numFmtId="0" fontId="0" fillId="21" borderId="40" xfId="0" applyFill="1" applyBorder="1" applyAlignment="1" applyProtection="1">
      <alignment vertical="center" wrapText="1"/>
    </xf>
    <xf numFmtId="0" fontId="0" fillId="21" borderId="41" xfId="0" applyFill="1" applyBorder="1" applyAlignment="1" applyProtection="1">
      <alignment vertical="center" wrapText="1"/>
    </xf>
    <xf numFmtId="0" fontId="0" fillId="21" borderId="42" xfId="0" applyFill="1" applyBorder="1" applyAlignment="1" applyProtection="1">
      <alignment vertical="center" wrapText="1"/>
    </xf>
    <xf numFmtId="0" fontId="0" fillId="21" borderId="20" xfId="0" applyFill="1" applyBorder="1" applyAlignment="1" applyProtection="1">
      <alignment vertical="center" wrapText="1"/>
    </xf>
    <xf numFmtId="0" fontId="0" fillId="21" borderId="21" xfId="0" applyFill="1" applyBorder="1" applyAlignment="1" applyProtection="1">
      <alignment vertical="center" wrapText="1"/>
    </xf>
    <xf numFmtId="0" fontId="0" fillId="21" borderId="43" xfId="0" applyFill="1" applyBorder="1" applyAlignment="1" applyProtection="1">
      <alignment vertical="center" wrapText="1"/>
    </xf>
    <xf numFmtId="0" fontId="0" fillId="21" borderId="44" xfId="0" applyFill="1" applyBorder="1" applyAlignment="1" applyProtection="1">
      <alignment vertical="center" wrapText="1"/>
    </xf>
    <xf numFmtId="0" fontId="33" fillId="21" borderId="45" xfId="0" applyFont="1" applyFill="1" applyBorder="1" applyAlignment="1" applyProtection="1">
      <alignment vertical="center" wrapText="1"/>
    </xf>
    <xf numFmtId="0" fontId="0" fillId="21" borderId="46" xfId="0" applyFill="1" applyBorder="1" applyAlignment="1" applyProtection="1">
      <alignment vertical="center" wrapText="1"/>
    </xf>
    <xf numFmtId="0" fontId="0" fillId="21" borderId="47" xfId="0" applyFill="1" applyBorder="1" applyAlignment="1" applyProtection="1">
      <alignment vertical="center" wrapText="1"/>
    </xf>
    <xf numFmtId="0" fontId="0" fillId="21" borderId="25" xfId="0" applyFill="1" applyBorder="1" applyAlignment="1" applyProtection="1">
      <alignment vertical="center" wrapText="1"/>
    </xf>
    <xf numFmtId="0" fontId="0" fillId="21" borderId="26" xfId="0" applyFill="1" applyBorder="1" applyAlignment="1" applyProtection="1">
      <alignment vertical="center" wrapText="1"/>
    </xf>
    <xf numFmtId="0" fontId="8" fillId="18" borderId="48" xfId="0" applyFont="1" applyFill="1" applyBorder="1" applyAlignment="1" applyProtection="1">
      <alignment horizontal="center" vertical="center" wrapText="1"/>
      <protection locked="0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18" borderId="48" xfId="0" applyFont="1" applyFill="1" applyBorder="1" applyAlignment="1" applyProtection="1">
      <alignment horizontal="left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2" fontId="5" fillId="18" borderId="48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48" xfId="0" applyNumberFormat="1" applyFont="1" applyFill="1" applyBorder="1" applyAlignment="1" applyProtection="1">
      <alignment horizontal="center" vertical="center" wrapText="1"/>
    </xf>
    <xf numFmtId="49" fontId="8" fillId="18" borderId="48" xfId="0" applyNumberFormat="1" applyFont="1" applyFill="1" applyBorder="1" applyAlignment="1" applyProtection="1">
      <alignment horizontal="center" vertical="center" wrapText="1"/>
      <protection locked="0"/>
    </xf>
    <xf numFmtId="44" fontId="8" fillId="22" borderId="48" xfId="37" applyNumberFormat="1" applyFont="1" applyFill="1" applyBorder="1" applyAlignment="1" applyProtection="1">
      <alignment horizontal="center" vertical="center" shrinkToFit="1"/>
    </xf>
    <xf numFmtId="0" fontId="5" fillId="18" borderId="49" xfId="0" applyFont="1" applyFill="1" applyBorder="1" applyAlignment="1" applyProtection="1">
      <alignment horizontal="center" vertical="center" wrapText="1"/>
      <protection locked="0"/>
    </xf>
    <xf numFmtId="0" fontId="8" fillId="18" borderId="49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18" borderId="49" xfId="0" applyFont="1" applyFill="1" applyBorder="1" applyAlignment="1" applyProtection="1">
      <alignment horizontal="left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2" fontId="5" fillId="18" borderId="49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49" xfId="0" applyNumberFormat="1" applyFont="1" applyFill="1" applyBorder="1" applyAlignment="1" applyProtection="1">
      <alignment horizontal="center" vertical="center" wrapText="1"/>
    </xf>
    <xf numFmtId="44" fontId="8" fillId="22" borderId="49" xfId="37" applyNumberFormat="1" applyFont="1" applyFill="1" applyBorder="1" applyAlignment="1" applyProtection="1">
      <alignment horizontal="center" vertical="center" shrinkToFit="1"/>
    </xf>
    <xf numFmtId="0" fontId="8" fillId="18" borderId="50" xfId="0" applyFont="1" applyFill="1" applyBorder="1" applyAlignment="1" applyProtection="1">
      <alignment horizontal="center" vertical="center" wrapText="1"/>
      <protection locked="0"/>
    </xf>
    <xf numFmtId="0" fontId="8" fillId="0" borderId="50" xfId="0" applyFont="1" applyFill="1" applyBorder="1" applyAlignment="1" applyProtection="1">
      <alignment horizontal="center" vertical="center" wrapText="1"/>
    </xf>
    <xf numFmtId="0" fontId="8" fillId="18" borderId="50" xfId="0" applyFont="1" applyFill="1" applyBorder="1" applyAlignment="1" applyProtection="1">
      <alignment horizontal="left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2" fontId="5" fillId="18" borderId="50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50" xfId="0" applyNumberFormat="1" applyFont="1" applyFill="1" applyBorder="1" applyAlignment="1" applyProtection="1">
      <alignment horizontal="center" vertical="center" wrapText="1"/>
    </xf>
    <xf numFmtId="49" fontId="8" fillId="18" borderId="50" xfId="0" applyNumberFormat="1" applyFont="1" applyFill="1" applyBorder="1" applyAlignment="1" applyProtection="1">
      <alignment horizontal="center" vertical="center" wrapText="1"/>
      <protection locked="0"/>
    </xf>
    <xf numFmtId="44" fontId="8" fillId="22" borderId="50" xfId="37" applyNumberFormat="1" applyFont="1" applyFill="1" applyBorder="1" applyAlignment="1" applyProtection="1">
      <alignment horizontal="center" vertical="center" shrinkToFit="1"/>
    </xf>
    <xf numFmtId="0" fontId="33" fillId="21" borderId="51" xfId="0" applyFont="1" applyFill="1" applyBorder="1" applyAlignment="1" applyProtection="1">
      <alignment horizontal="center" vertical="center" wrapText="1"/>
    </xf>
    <xf numFmtId="0" fontId="0" fillId="21" borderId="52" xfId="0" applyFill="1" applyBorder="1" applyAlignment="1" applyProtection="1">
      <alignment horizontal="center" vertical="center" wrapText="1"/>
    </xf>
    <xf numFmtId="0" fontId="0" fillId="21" borderId="53" xfId="0" applyFill="1" applyBorder="1" applyAlignment="1" applyProtection="1">
      <alignment horizontal="center" vertical="center" wrapText="1"/>
    </xf>
    <xf numFmtId="0" fontId="0" fillId="21" borderId="22" xfId="0" applyFill="1" applyBorder="1" applyAlignment="1" applyProtection="1">
      <alignment vertical="center" wrapText="1"/>
    </xf>
    <xf numFmtId="0" fontId="0" fillId="21" borderId="23" xfId="0" applyFill="1" applyBorder="1" applyAlignment="1" applyProtection="1">
      <alignment vertical="center" wrapText="1"/>
    </xf>
    <xf numFmtId="0" fontId="0" fillId="21" borderId="19" xfId="0" applyFill="1" applyBorder="1" applyAlignment="1" applyProtection="1">
      <alignment vertical="center" wrapText="1"/>
    </xf>
    <xf numFmtId="0" fontId="3" fillId="19" borderId="48" xfId="0" applyFont="1" applyFill="1" applyBorder="1" applyAlignment="1" applyProtection="1">
      <alignment horizontal="center" vertical="center" wrapText="1"/>
    </xf>
    <xf numFmtId="10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</xf>
    <xf numFmtId="10" fontId="1" fillId="0" borderId="48" xfId="0" applyNumberFormat="1" applyFont="1" applyFill="1" applyBorder="1" applyAlignment="1" applyProtection="1">
      <alignment horizontal="center" vertical="center" wrapText="1"/>
    </xf>
    <xf numFmtId="0" fontId="8" fillId="0" borderId="48" xfId="0" applyFont="1" applyFill="1" applyBorder="1" applyAlignment="1" applyProtection="1">
      <alignment vertical="center" wrapText="1"/>
    </xf>
    <xf numFmtId="0" fontId="1" fillId="0" borderId="48" xfId="0" applyFont="1" applyFill="1" applyBorder="1" applyAlignment="1" applyProtection="1">
      <alignment vertical="center" wrapText="1"/>
    </xf>
    <xf numFmtId="4" fontId="35" fillId="23" borderId="48" xfId="0" applyNumberFormat="1" applyFont="1" applyFill="1" applyBorder="1" applyAlignment="1" applyProtection="1">
      <alignment horizontal="center" vertical="center" wrapText="1"/>
    </xf>
    <xf numFmtId="44" fontId="1" fillId="0" borderId="48" xfId="0" applyNumberFormat="1" applyFont="1" applyFill="1" applyBorder="1" applyAlignment="1" applyProtection="1">
      <alignment vertical="center" wrapText="1"/>
    </xf>
    <xf numFmtId="4" fontId="5" fillId="0" borderId="48" xfId="0" applyNumberFormat="1" applyFont="1" applyFill="1" applyBorder="1" applyAlignment="1" applyProtection="1">
      <alignment horizontal="center" vertical="center" wrapText="1"/>
    </xf>
    <xf numFmtId="0" fontId="3" fillId="19" borderId="54" xfId="0" applyFont="1" applyFill="1" applyBorder="1" applyAlignment="1" applyProtection="1">
      <alignment horizontal="center" vertical="center" wrapText="1"/>
    </xf>
    <xf numFmtId="0" fontId="3" fillId="0" borderId="49" xfId="0" applyFont="1" applyFill="1" applyBorder="1" applyAlignment="1" applyProtection="1">
      <alignment horizontal="center" vertical="center" wrapText="1"/>
    </xf>
    <xf numFmtId="10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0" fontId="1" fillId="0" borderId="49" xfId="0" applyNumberFormat="1" applyFont="1" applyFill="1" applyBorder="1" applyAlignment="1" applyProtection="1">
      <alignment horizontal="center" vertical="center" wrapText="1"/>
    </xf>
    <xf numFmtId="0" fontId="3" fillId="19" borderId="50" xfId="0" applyFont="1" applyFill="1" applyBorder="1" applyAlignment="1" applyProtection="1">
      <alignment horizontal="center" vertical="center" wrapText="1"/>
    </xf>
    <xf numFmtId="10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0" xfId="0" applyFont="1" applyFill="1" applyBorder="1" applyAlignment="1" applyProtection="1">
      <alignment horizontal="center" vertical="center" wrapText="1"/>
    </xf>
    <xf numFmtId="10" fontId="1" fillId="0" borderId="50" xfId="0" applyNumberFormat="1" applyFont="1" applyFill="1" applyBorder="1" applyAlignment="1" applyProtection="1">
      <alignment horizontal="center" vertical="center" wrapText="1"/>
    </xf>
    <xf numFmtId="0" fontId="1" fillId="0" borderId="55" xfId="0" applyFont="1" applyFill="1" applyBorder="1" applyAlignment="1" applyProtection="1"/>
    <xf numFmtId="4" fontId="5" fillId="19" borderId="56" xfId="0" applyNumberFormat="1" applyFont="1" applyFill="1" applyBorder="1" applyAlignment="1" applyProtection="1">
      <alignment horizontal="center" vertical="center" wrapText="1"/>
    </xf>
    <xf numFmtId="4" fontId="5" fillId="0" borderId="57" xfId="0" applyNumberFormat="1" applyFont="1" applyFill="1" applyBorder="1" applyAlignment="1" applyProtection="1">
      <alignment horizontal="center" vertical="center" wrapText="1"/>
    </xf>
    <xf numFmtId="4" fontId="5" fillId="20" borderId="57" xfId="0" applyNumberFormat="1" applyFont="1" applyFill="1" applyBorder="1" applyAlignment="1" applyProtection="1">
      <alignment horizontal="center" vertical="center" wrapText="1"/>
    </xf>
    <xf numFmtId="10" fontId="5" fillId="19" borderId="57" xfId="37" applyNumberFormat="1" applyFont="1" applyFill="1" applyBorder="1" applyAlignment="1" applyProtection="1">
      <alignment horizontal="center" vertical="center" wrapText="1"/>
    </xf>
    <xf numFmtId="4" fontId="5" fillId="0" borderId="57" xfId="0" applyNumberFormat="1" applyFont="1" applyFill="1" applyBorder="1" applyAlignment="1" applyProtection="1">
      <alignment horizontal="right" vertical="center" wrapText="1"/>
    </xf>
    <xf numFmtId="4" fontId="5" fillId="20" borderId="57" xfId="0" applyNumberFormat="1" applyFont="1" applyFill="1" applyBorder="1" applyAlignment="1" applyProtection="1">
      <alignment horizontal="right" vertical="center" wrapText="1"/>
    </xf>
    <xf numFmtId="4" fontId="5" fillId="0" borderId="58" xfId="0" applyNumberFormat="1" applyFont="1" applyFill="1" applyBorder="1" applyAlignment="1" applyProtection="1">
      <alignment horizontal="right" vertical="center" wrapText="1"/>
    </xf>
    <xf numFmtId="4" fontId="5" fillId="19" borderId="59" xfId="0" applyNumberFormat="1" applyFont="1" applyFill="1" applyBorder="1" applyAlignment="1" applyProtection="1">
      <alignment horizontal="center" vertical="center" wrapText="1"/>
    </xf>
    <xf numFmtId="4" fontId="5" fillId="0" borderId="60" xfId="0" applyNumberFormat="1" applyFont="1" applyFill="1" applyBorder="1" applyAlignment="1" applyProtection="1">
      <alignment horizontal="center" vertical="center" wrapText="1"/>
    </xf>
    <xf numFmtId="4" fontId="5" fillId="20" borderId="60" xfId="0" applyNumberFormat="1" applyFont="1" applyFill="1" applyBorder="1" applyAlignment="1" applyProtection="1">
      <alignment horizontal="center" vertical="center" wrapText="1"/>
    </xf>
    <xf numFmtId="4" fontId="5" fillId="19" borderId="60" xfId="0" applyNumberFormat="1" applyFont="1" applyFill="1" applyBorder="1" applyAlignment="1" applyProtection="1">
      <alignment horizontal="center" vertical="center" wrapText="1"/>
    </xf>
    <xf numFmtId="4" fontId="5" fillId="0" borderId="61" xfId="0" applyNumberFormat="1" applyFont="1" applyFill="1" applyBorder="1" applyAlignment="1" applyProtection="1">
      <alignment horizontal="center" vertical="center" wrapText="1"/>
    </xf>
    <xf numFmtId="10" fontId="5" fillId="19" borderId="62" xfId="0" applyNumberFormat="1" applyFont="1" applyFill="1" applyBorder="1" applyAlignment="1" applyProtection="1">
      <alignment horizontal="center" vertical="center" wrapText="1"/>
    </xf>
    <xf numFmtId="4" fontId="5" fillId="0" borderId="63" xfId="0" applyNumberFormat="1" applyFont="1" applyFill="1" applyBorder="1" applyAlignment="1" applyProtection="1">
      <alignment vertical="center" wrapText="1"/>
    </xf>
    <xf numFmtId="4" fontId="5" fillId="20" borderId="63" xfId="0" applyNumberFormat="1" applyFont="1" applyFill="1" applyBorder="1" applyAlignment="1" applyProtection="1">
      <alignment vertical="center" wrapText="1"/>
    </xf>
    <xf numFmtId="10" fontId="5" fillId="19" borderId="63" xfId="0" applyNumberFormat="1" applyFont="1" applyFill="1" applyBorder="1" applyAlignment="1" applyProtection="1">
      <alignment horizontal="center" vertical="center" wrapText="1"/>
    </xf>
    <xf numFmtId="4" fontId="5" fillId="0" borderId="64" xfId="0" applyNumberFormat="1" applyFont="1" applyFill="1" applyBorder="1" applyAlignment="1" applyProtection="1">
      <alignment vertical="center" wrapText="1"/>
    </xf>
    <xf numFmtId="10" fontId="5" fillId="19" borderId="59" xfId="0" applyNumberFormat="1" applyFont="1" applyFill="1" applyBorder="1" applyAlignment="1" applyProtection="1">
      <alignment horizontal="center" vertical="center" wrapText="1"/>
    </xf>
    <xf numFmtId="4" fontId="5" fillId="0" borderId="60" xfId="0" applyNumberFormat="1" applyFont="1" applyFill="1" applyBorder="1" applyAlignment="1" applyProtection="1">
      <alignment vertical="center" wrapText="1"/>
    </xf>
    <xf numFmtId="4" fontId="5" fillId="20" borderId="60" xfId="0" applyNumberFormat="1" applyFont="1" applyFill="1" applyBorder="1" applyAlignment="1" applyProtection="1">
      <alignment vertical="center" wrapText="1"/>
    </xf>
    <xf numFmtId="10" fontId="5" fillId="19" borderId="60" xfId="0" applyNumberFormat="1" applyFont="1" applyFill="1" applyBorder="1" applyAlignment="1" applyProtection="1">
      <alignment horizontal="center" vertical="center" wrapText="1"/>
    </xf>
    <xf numFmtId="4" fontId="5" fillId="0" borderId="61" xfId="0" applyNumberFormat="1" applyFont="1" applyFill="1" applyBorder="1" applyAlignment="1" applyProtection="1">
      <alignment vertical="center" wrapText="1"/>
    </xf>
    <xf numFmtId="0" fontId="8" fillId="0" borderId="65" xfId="0" applyFont="1" applyFill="1" applyBorder="1" applyAlignment="1" applyProtection="1">
      <alignment horizontal="center" vertical="center" wrapText="1"/>
    </xf>
    <xf numFmtId="0" fontId="8" fillId="0" borderId="66" xfId="0" applyFont="1" applyFill="1" applyBorder="1" applyAlignment="1" applyProtection="1">
      <alignment horizontal="center" vertical="center" wrapText="1"/>
    </xf>
    <xf numFmtId="0" fontId="3" fillId="0" borderId="66" xfId="0" applyNumberFormat="1" applyFont="1" applyFill="1" applyBorder="1" applyAlignment="1" applyProtection="1">
      <alignment horizontal="center" vertical="center" wrapText="1"/>
    </xf>
    <xf numFmtId="4" fontId="5" fillId="0" borderId="66" xfId="0" applyNumberFormat="1" applyFont="1" applyFill="1" applyBorder="1" applyAlignment="1" applyProtection="1">
      <alignment horizontal="center" vertical="center" wrapText="1"/>
    </xf>
    <xf numFmtId="0" fontId="5" fillId="0" borderId="66" xfId="0" applyNumberFormat="1" applyFont="1" applyFill="1" applyBorder="1" applyAlignment="1" applyProtection="1">
      <alignment horizontal="center" vertical="center" wrapText="1"/>
    </xf>
    <xf numFmtId="4" fontId="8" fillId="0" borderId="66" xfId="0" applyNumberFormat="1" applyFont="1" applyFill="1" applyBorder="1" applyAlignment="1" applyProtection="1">
      <alignment horizontal="right" vertical="center" wrapText="1"/>
    </xf>
    <xf numFmtId="165" fontId="3" fillId="0" borderId="66" xfId="37" applyNumberFormat="1" applyFont="1" applyFill="1" applyBorder="1" applyAlignment="1" applyProtection="1">
      <alignment horizontal="right" vertical="center" shrinkToFit="1"/>
    </xf>
    <xf numFmtId="4" fontId="8" fillId="0" borderId="66" xfId="0" applyNumberFormat="1" applyFont="1" applyFill="1" applyBorder="1" applyAlignment="1" applyProtection="1">
      <alignment horizontal="right" vertical="center" shrinkToFit="1"/>
    </xf>
    <xf numFmtId="165" fontId="3" fillId="18" borderId="66" xfId="37" applyNumberFormat="1" applyFont="1" applyFill="1" applyBorder="1" applyAlignment="1" applyProtection="1">
      <alignment horizontal="right" vertical="center" shrinkToFit="1"/>
      <protection locked="0"/>
    </xf>
    <xf numFmtId="10" fontId="8" fillId="0" borderId="67" xfId="0" applyNumberFormat="1" applyFont="1" applyFill="1" applyBorder="1" applyAlignment="1" applyProtection="1">
      <alignment horizontal="center" vertical="center" wrapText="1"/>
    </xf>
    <xf numFmtId="0" fontId="8" fillId="0" borderId="68" xfId="0" applyFont="1" applyFill="1" applyBorder="1" applyAlignment="1" applyProtection="1">
      <alignment horizontal="center" vertical="center" wrapText="1"/>
    </xf>
    <xf numFmtId="0" fontId="3" fillId="0" borderId="48" xfId="0" applyNumberFormat="1" applyFont="1" applyFill="1" applyBorder="1" applyAlignment="1" applyProtection="1">
      <alignment horizontal="center" vertical="center" wrapText="1"/>
    </xf>
    <xf numFmtId="0" fontId="5" fillId="0" borderId="48" xfId="0" applyNumberFormat="1" applyFont="1" applyFill="1" applyBorder="1" applyAlignment="1" applyProtection="1">
      <alignment horizontal="center" vertical="center" wrapText="1"/>
    </xf>
    <xf numFmtId="4" fontId="8" fillId="0" borderId="48" xfId="0" applyNumberFormat="1" applyFont="1" applyFill="1" applyBorder="1" applyAlignment="1" applyProtection="1">
      <alignment horizontal="right" vertical="center" wrapText="1"/>
    </xf>
    <xf numFmtId="165" fontId="3" fillId="0" borderId="48" xfId="37" applyNumberFormat="1" applyFont="1" applyFill="1" applyBorder="1" applyAlignment="1" applyProtection="1">
      <alignment horizontal="right" vertical="center" shrinkToFit="1"/>
    </xf>
    <xf numFmtId="4" fontId="8" fillId="0" borderId="48" xfId="0" applyNumberFormat="1" applyFont="1" applyFill="1" applyBorder="1" applyAlignment="1" applyProtection="1">
      <alignment horizontal="right" vertical="center" shrinkToFit="1"/>
    </xf>
    <xf numFmtId="165" fontId="3" fillId="18" borderId="48" xfId="37" applyNumberFormat="1" applyFont="1" applyFill="1" applyBorder="1" applyAlignment="1" applyProtection="1">
      <alignment horizontal="right" vertical="center" shrinkToFit="1"/>
      <protection locked="0"/>
    </xf>
    <xf numFmtId="10" fontId="8" fillId="0" borderId="69" xfId="0" applyNumberFormat="1" applyFont="1" applyFill="1" applyBorder="1" applyAlignment="1" applyProtection="1">
      <alignment horizontal="center" vertical="center" wrapText="1"/>
    </xf>
    <xf numFmtId="0" fontId="8" fillId="0" borderId="70" xfId="0" applyFont="1" applyFill="1" applyBorder="1" applyAlignment="1" applyProtection="1">
      <alignment horizontal="center" vertical="center" wrapText="1"/>
    </xf>
    <xf numFmtId="0" fontId="3" fillId="0" borderId="50" xfId="0" applyNumberFormat="1" applyFont="1" applyFill="1" applyBorder="1" applyAlignment="1" applyProtection="1">
      <alignment horizontal="center" vertical="center" wrapText="1"/>
    </xf>
    <xf numFmtId="4" fontId="5" fillId="0" borderId="50" xfId="0" applyNumberFormat="1" applyFont="1" applyFill="1" applyBorder="1" applyAlignment="1" applyProtection="1">
      <alignment horizontal="center" vertical="center" wrapText="1"/>
    </xf>
    <xf numFmtId="0" fontId="5" fillId="0" borderId="50" xfId="0" applyNumberFormat="1" applyFont="1" applyFill="1" applyBorder="1" applyAlignment="1" applyProtection="1">
      <alignment horizontal="center" vertical="center" wrapText="1"/>
    </xf>
    <xf numFmtId="4" fontId="8" fillId="0" borderId="50" xfId="0" applyNumberFormat="1" applyFont="1" applyFill="1" applyBorder="1" applyAlignment="1" applyProtection="1">
      <alignment horizontal="right" vertical="center" wrapText="1"/>
    </xf>
    <xf numFmtId="4" fontId="8" fillId="0" borderId="50" xfId="0" applyNumberFormat="1" applyFont="1" applyFill="1" applyBorder="1" applyAlignment="1" applyProtection="1">
      <alignment horizontal="right" vertical="center" shrinkToFit="1"/>
    </xf>
    <xf numFmtId="165" fontId="3" fillId="18" borderId="50" xfId="37" applyNumberFormat="1" applyFont="1" applyFill="1" applyBorder="1" applyAlignment="1" applyProtection="1">
      <alignment horizontal="right" vertical="center" shrinkToFit="1"/>
      <protection locked="0"/>
    </xf>
    <xf numFmtId="10" fontId="8" fillId="0" borderId="71" xfId="0" applyNumberFormat="1" applyFont="1" applyFill="1" applyBorder="1" applyAlignment="1" applyProtection="1">
      <alignment horizontal="center" vertical="center" wrapText="1"/>
    </xf>
    <xf numFmtId="0" fontId="0" fillId="21" borderId="72" xfId="0" applyFill="1" applyBorder="1" applyAlignment="1" applyProtection="1">
      <alignment horizontal="center" vertical="center" wrapText="1"/>
    </xf>
    <xf numFmtId="0" fontId="31" fillId="21" borderId="52" xfId="0" applyFont="1" applyFill="1" applyBorder="1" applyAlignment="1" applyProtection="1">
      <alignment horizontal="center" vertical="center" wrapText="1"/>
    </xf>
    <xf numFmtId="0" fontId="3" fillId="0" borderId="73" xfId="40" applyFont="1" applyBorder="1" applyAlignment="1" applyProtection="1">
      <alignment horizontal="right"/>
    </xf>
    <xf numFmtId="167" fontId="26" fillId="0" borderId="48" xfId="40" applyNumberFormat="1" applyFont="1" applyFill="1" applyBorder="1" applyAlignment="1" applyProtection="1">
      <alignment horizontal="right" vertical="top"/>
    </xf>
    <xf numFmtId="167" fontId="26" fillId="0" borderId="74" xfId="40" applyNumberFormat="1" applyFont="1" applyFill="1" applyBorder="1" applyAlignment="1" applyProtection="1">
      <alignment vertical="top"/>
    </xf>
    <xf numFmtId="0" fontId="3" fillId="0" borderId="75" xfId="40" applyFont="1" applyBorder="1" applyAlignment="1" applyProtection="1">
      <alignment horizontal="right"/>
    </xf>
    <xf numFmtId="10" fontId="26" fillId="0" borderId="76" xfId="40" applyNumberFormat="1" applyFont="1" applyFill="1" applyBorder="1" applyAlignment="1" applyProtection="1">
      <alignment horizontal="right" vertical="top"/>
    </xf>
    <xf numFmtId="10" fontId="26" fillId="0" borderId="77" xfId="40" applyNumberFormat="1" applyFont="1" applyFill="1" applyBorder="1" applyAlignment="1" applyProtection="1">
      <alignment vertical="top"/>
    </xf>
    <xf numFmtId="0" fontId="28" fillId="0" borderId="78" xfId="40" applyNumberFormat="1" applyFont="1" applyFill="1" applyBorder="1" applyAlignment="1" applyProtection="1">
      <alignment wrapText="1"/>
    </xf>
    <xf numFmtId="49" fontId="28" fillId="18" borderId="79" xfId="40" applyNumberFormat="1" applyFont="1" applyFill="1" applyBorder="1" applyAlignment="1" applyProtection="1">
      <alignment wrapText="1"/>
      <protection locked="0"/>
    </xf>
    <xf numFmtId="4" fontId="28" fillId="0" borderId="80" xfId="40" applyNumberFormat="1" applyFont="1" applyFill="1" applyBorder="1" applyAlignment="1" applyProtection="1">
      <alignment horizontal="right" wrapText="1"/>
    </xf>
    <xf numFmtId="0" fontId="28" fillId="0" borderId="68" xfId="40" applyNumberFormat="1" applyFont="1" applyFill="1" applyBorder="1" applyAlignment="1" applyProtection="1">
      <alignment wrapText="1"/>
    </xf>
    <xf numFmtId="49" fontId="28" fillId="18" borderId="48" xfId="40" applyNumberFormat="1" applyFont="1" applyFill="1" applyBorder="1" applyAlignment="1" applyProtection="1">
      <alignment wrapText="1"/>
      <protection locked="0"/>
    </xf>
    <xf numFmtId="4" fontId="28" fillId="0" borderId="69" xfId="40" applyNumberFormat="1" applyFont="1" applyFill="1" applyBorder="1" applyAlignment="1" applyProtection="1">
      <alignment horizontal="right" wrapText="1"/>
    </xf>
    <xf numFmtId="0" fontId="28" fillId="0" borderId="81" xfId="40" applyNumberFormat="1" applyFont="1" applyFill="1" applyBorder="1" applyAlignment="1" applyProtection="1">
      <alignment wrapText="1"/>
    </xf>
    <xf numFmtId="49" fontId="28" fillId="18" borderId="82" xfId="40" applyNumberFormat="1" applyFont="1" applyFill="1" applyBorder="1" applyAlignment="1" applyProtection="1">
      <alignment wrapText="1"/>
      <protection locked="0"/>
    </xf>
    <xf numFmtId="4" fontId="28" fillId="0" borderId="83" xfId="40" applyNumberFormat="1" applyFont="1" applyFill="1" applyBorder="1" applyAlignment="1" applyProtection="1">
      <alignment horizontal="right" wrapText="1"/>
    </xf>
    <xf numFmtId="0" fontId="31" fillId="21" borderId="25" xfId="0" applyFont="1" applyFill="1" applyBorder="1" applyAlignment="1" applyProtection="1">
      <alignment vertical="center" wrapText="1"/>
    </xf>
    <xf numFmtId="0" fontId="8" fillId="0" borderId="66" xfId="0" applyFont="1" applyFill="1" applyBorder="1" applyAlignment="1" applyProtection="1">
      <alignment horizontal="left" vertical="center" wrapText="1"/>
    </xf>
    <xf numFmtId="0" fontId="8" fillId="0" borderId="48" xfId="0" applyFont="1" applyFill="1" applyBorder="1" applyAlignment="1" applyProtection="1">
      <alignment horizontal="left" vertical="center" wrapText="1"/>
    </xf>
    <xf numFmtId="0" fontId="8" fillId="0" borderId="50" xfId="0" applyFont="1" applyFill="1" applyBorder="1" applyAlignment="1" applyProtection="1">
      <alignment horizontal="left" vertical="center" wrapText="1"/>
    </xf>
    <xf numFmtId="4" fontId="24" fillId="0" borderId="20" xfId="0" applyNumberFormat="1" applyFont="1" applyBorder="1" applyAlignment="1" applyProtection="1">
      <alignment horizontal="center"/>
    </xf>
    <xf numFmtId="0" fontId="3" fillId="20" borderId="84" xfId="0" applyFont="1" applyFill="1" applyBorder="1" applyAlignment="1" applyProtection="1">
      <alignment vertical="center" wrapText="1"/>
    </xf>
    <xf numFmtId="3" fontId="3" fillId="20" borderId="85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left" wrapText="1"/>
    </xf>
    <xf numFmtId="0" fontId="3" fillId="18" borderId="11" xfId="0" applyFont="1" applyFill="1" applyBorder="1" applyAlignment="1" applyProtection="1">
      <alignment horizontal="left" vertical="top" wrapText="1"/>
      <protection locked="0"/>
    </xf>
    <xf numFmtId="0" fontId="3" fillId="18" borderId="49" xfId="0" applyFont="1" applyFill="1" applyBorder="1" applyAlignment="1" applyProtection="1">
      <alignment horizontal="left" vertical="center" wrapText="1"/>
      <protection locked="0"/>
    </xf>
    <xf numFmtId="0" fontId="3" fillId="18" borderId="48" xfId="0" applyFont="1" applyFill="1" applyBorder="1" applyAlignment="1" applyProtection="1">
      <alignment horizontal="left" vertical="center" wrapText="1"/>
      <protection locked="0"/>
    </xf>
    <xf numFmtId="0" fontId="5" fillId="18" borderId="48" xfId="0" applyFont="1" applyFill="1" applyBorder="1" applyAlignment="1" applyProtection="1">
      <alignment horizontal="center" vertical="center" wrapText="1"/>
    </xf>
    <xf numFmtId="44" fontId="3" fillId="22" borderId="48" xfId="37" applyNumberFormat="1" applyFont="1" applyFill="1" applyBorder="1" applyAlignment="1" applyProtection="1">
      <alignment horizontal="center" vertical="center" shrinkToFit="1"/>
      <protection locked="0"/>
    </xf>
    <xf numFmtId="44" fontId="3" fillId="22" borderId="86" xfId="37" applyNumberFormat="1" applyFont="1" applyFill="1" applyBorder="1" applyAlignment="1" applyProtection="1">
      <alignment horizontal="center" vertical="center" shrinkToFit="1"/>
      <protection locked="0"/>
    </xf>
    <xf numFmtId="44" fontId="3" fillId="22" borderId="87" xfId="37" applyNumberFormat="1" applyFont="1" applyFill="1" applyBorder="1" applyAlignment="1" applyProtection="1">
      <alignment horizontal="center" vertical="center" shrinkToFit="1"/>
      <protection locked="0"/>
    </xf>
    <xf numFmtId="44" fontId="5" fillId="22" borderId="49" xfId="37" applyNumberFormat="1" applyFont="1" applyFill="1" applyBorder="1" applyAlignment="1" applyProtection="1">
      <alignment horizontal="center" vertical="center" shrinkToFit="1"/>
    </xf>
    <xf numFmtId="44" fontId="5" fillId="22" borderId="88" xfId="37" applyNumberFormat="1" applyFont="1" applyFill="1" applyBorder="1" applyAlignment="1" applyProtection="1">
      <alignment horizontal="center" vertical="center" shrinkToFit="1"/>
    </xf>
    <xf numFmtId="44" fontId="5" fillId="22" borderId="87" xfId="37" applyNumberFormat="1" applyFont="1" applyFill="1" applyBorder="1" applyAlignment="1" applyProtection="1">
      <alignment horizontal="center" vertical="center" shrinkToFit="1"/>
    </xf>
    <xf numFmtId="44" fontId="3" fillId="22" borderId="89" xfId="37" applyNumberFormat="1" applyFont="1" applyFill="1" applyBorder="1" applyAlignment="1" applyProtection="1">
      <alignment horizontal="center" vertical="center" shrinkToFit="1"/>
      <protection locked="0"/>
    </xf>
    <xf numFmtId="0" fontId="5" fillId="18" borderId="50" xfId="0" applyFont="1" applyFill="1" applyBorder="1" applyAlignment="1" applyProtection="1">
      <alignment horizontal="center" vertical="center" wrapText="1"/>
    </xf>
    <xf numFmtId="44" fontId="3" fillId="22" borderId="90" xfId="37" applyNumberFormat="1" applyFont="1" applyFill="1" applyBorder="1" applyAlignment="1" applyProtection="1">
      <alignment horizontal="center" vertical="center" shrinkToFit="1"/>
      <protection locked="0"/>
    </xf>
    <xf numFmtId="44" fontId="3" fillId="22" borderId="91" xfId="37" applyNumberFormat="1" applyFont="1" applyFill="1" applyBorder="1" applyAlignment="1" applyProtection="1">
      <alignment horizontal="center" vertical="center" shrinkToFit="1"/>
      <protection locked="0"/>
    </xf>
    <xf numFmtId="0" fontId="8" fillId="0" borderId="50" xfId="0" applyFont="1" applyFill="1" applyBorder="1" applyAlignment="1" applyProtection="1">
      <alignment horizontal="center" vertical="center" wrapText="1"/>
    </xf>
    <xf numFmtId="0" fontId="1" fillId="18" borderId="48" xfId="0" applyFont="1" applyFill="1" applyBorder="1" applyAlignment="1" applyProtection="1">
      <alignment horizontal="left" vertical="center" wrapText="1"/>
      <protection locked="0"/>
    </xf>
    <xf numFmtId="0" fontId="1" fillId="18" borderId="50" xfId="0" applyFont="1" applyFill="1" applyBorder="1" applyAlignment="1" applyProtection="1">
      <alignment horizontal="left" vertical="center" wrapText="1"/>
      <protection locked="0"/>
    </xf>
    <xf numFmtId="0" fontId="1" fillId="18" borderId="11" xfId="0" applyFont="1" applyFill="1" applyBorder="1" applyAlignment="1" applyProtection="1">
      <alignment horizontal="left" vertical="top" wrapText="1"/>
      <protection locked="0"/>
    </xf>
    <xf numFmtId="0" fontId="1" fillId="18" borderId="49" xfId="0" applyFont="1" applyFill="1" applyBorder="1" applyAlignment="1" applyProtection="1">
      <alignment horizontal="left" vertical="center" wrapText="1"/>
      <protection locked="0"/>
    </xf>
    <xf numFmtId="0" fontId="1" fillId="18" borderId="1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wrapText="1"/>
    </xf>
    <xf numFmtId="49" fontId="1" fillId="18" borderId="11" xfId="0" applyNumberFormat="1" applyFont="1" applyFill="1" applyBorder="1" applyAlignment="1" applyProtection="1">
      <alignment horizontal="left" vertical="top" wrapText="1"/>
      <protection locked="0"/>
    </xf>
    <xf numFmtId="49" fontId="0" fillId="18" borderId="11" xfId="0" applyNumberFormat="1" applyFill="1" applyBorder="1" applyAlignment="1" applyProtection="1">
      <alignment horizontal="left" vertical="top" wrapText="1"/>
      <protection locked="0"/>
    </xf>
    <xf numFmtId="0" fontId="29" fillId="20" borderId="94" xfId="0" applyFont="1" applyFill="1" applyBorder="1" applyAlignment="1" applyProtection="1">
      <alignment horizontal="center" vertical="center" wrapText="1"/>
    </xf>
    <xf numFmtId="0" fontId="29" fillId="20" borderId="95" xfId="0" applyFont="1" applyFill="1" applyBorder="1" applyAlignment="1" applyProtection="1">
      <alignment horizontal="center" vertical="center" wrapText="1"/>
    </xf>
    <xf numFmtId="0" fontId="29" fillId="20" borderId="13" xfId="0" applyFont="1" applyFill="1" applyBorder="1" applyAlignment="1" applyProtection="1">
      <alignment horizontal="center" vertical="center" wrapText="1"/>
    </xf>
    <xf numFmtId="0" fontId="29" fillId="20" borderId="96" xfId="0" applyFont="1" applyFill="1" applyBorder="1" applyAlignment="1" applyProtection="1">
      <alignment horizontal="center" vertical="center" wrapText="1"/>
    </xf>
    <xf numFmtId="0" fontId="5" fillId="0" borderId="9" xfId="41" applyFont="1" applyBorder="1" applyAlignment="1" applyProtection="1">
      <alignment horizontal="left" vertical="top" wrapText="1"/>
    </xf>
    <xf numFmtId="0" fontId="5" fillId="0" borderId="11" xfId="41" applyFont="1" applyBorder="1" applyAlignment="1" applyProtection="1">
      <alignment horizontal="left" vertical="top" wrapText="1"/>
    </xf>
    <xf numFmtId="0" fontId="5" fillId="0" borderId="9" xfId="41" applyFont="1" applyBorder="1" applyAlignment="1" applyProtection="1">
      <alignment horizontal="left" vertical="top"/>
    </xf>
    <xf numFmtId="0" fontId="1" fillId="18" borderId="11" xfId="0" applyFont="1" applyFill="1" applyBorder="1" applyAlignment="1" applyProtection="1">
      <alignment horizontal="left" vertical="top" wrapText="1"/>
      <protection locked="0"/>
    </xf>
    <xf numFmtId="0" fontId="0" fillId="18" borderId="11" xfId="0" applyFill="1" applyBorder="1" applyAlignment="1" applyProtection="1">
      <alignment horizontal="left" vertical="top" wrapText="1"/>
      <protection locked="0"/>
    </xf>
    <xf numFmtId="0" fontId="5" fillId="0" borderId="38" xfId="41" applyFont="1" applyBorder="1" applyAlignment="1" applyProtection="1">
      <alignment horizontal="left" vertical="top"/>
    </xf>
    <xf numFmtId="0" fontId="5" fillId="0" borderId="0" xfId="41" applyFont="1" applyBorder="1" applyAlignment="1" applyProtection="1">
      <alignment horizontal="left" vertical="top"/>
    </xf>
    <xf numFmtId="0" fontId="5" fillId="0" borderId="39" xfId="41" applyFont="1" applyBorder="1" applyAlignment="1" applyProtection="1">
      <alignment horizontal="left" vertical="top"/>
    </xf>
    <xf numFmtId="0" fontId="1" fillId="18" borderId="84" xfId="0" applyFont="1" applyFill="1" applyBorder="1" applyAlignment="1" applyProtection="1">
      <alignment horizontal="left" vertical="top" wrapText="1"/>
      <protection locked="0"/>
    </xf>
    <xf numFmtId="0" fontId="0" fillId="18" borderId="13" xfId="0" applyFill="1" applyBorder="1" applyAlignment="1" applyProtection="1">
      <alignment horizontal="left" vertical="top" wrapText="1"/>
      <protection locked="0"/>
    </xf>
    <xf numFmtId="0" fontId="0" fillId="18" borderId="96" xfId="0" applyFill="1" applyBorder="1" applyAlignment="1" applyProtection="1">
      <alignment horizontal="left" vertical="top" wrapText="1"/>
      <protection locked="0"/>
    </xf>
    <xf numFmtId="0" fontId="30" fillId="0" borderId="98" xfId="0" applyFont="1" applyFill="1" applyBorder="1" applyAlignment="1" applyProtection="1">
      <alignment horizontal="center" vertical="center" wrapText="1"/>
    </xf>
    <xf numFmtId="0" fontId="30" fillId="0" borderId="94" xfId="0" applyFont="1" applyFill="1" applyBorder="1" applyAlignment="1" applyProtection="1">
      <alignment horizontal="center" vertical="center" wrapText="1"/>
    </xf>
    <xf numFmtId="0" fontId="3" fillId="0" borderId="97" xfId="0" applyFont="1" applyFill="1" applyBorder="1" applyAlignment="1" applyProtection="1">
      <alignment horizontal="left" wrapText="1"/>
    </xf>
    <xf numFmtId="0" fontId="8" fillId="0" borderId="0" xfId="0" applyFont="1" applyAlignment="1" applyProtection="1">
      <alignment horizontal="center"/>
    </xf>
    <xf numFmtId="2" fontId="24" fillId="0" borderId="30" xfId="0" applyNumberFormat="1" applyFont="1" applyFill="1" applyBorder="1" applyAlignment="1" applyProtection="1">
      <alignment horizontal="center" vertical="center" wrapText="1"/>
    </xf>
    <xf numFmtId="2" fontId="24" fillId="0" borderId="12" xfId="0" applyNumberFormat="1" applyFont="1" applyFill="1" applyBorder="1" applyAlignment="1" applyProtection="1">
      <alignment horizontal="center" vertical="center" wrapText="1"/>
    </xf>
    <xf numFmtId="0" fontId="7" fillId="0" borderId="92" xfId="0" applyFont="1" applyBorder="1" applyAlignment="1" applyProtection="1">
      <alignment horizontal="center" vertical="center"/>
    </xf>
    <xf numFmtId="0" fontId="7" fillId="0" borderId="93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/>
    </xf>
    <xf numFmtId="0" fontId="7" fillId="0" borderId="9" xfId="0" applyFont="1" applyBorder="1" applyProtection="1"/>
    <xf numFmtId="0" fontId="8" fillId="0" borderId="0" xfId="0" applyFont="1" applyAlignment="1" applyProtection="1">
      <alignment horizontal="center" wrapText="1"/>
    </xf>
    <xf numFmtId="0" fontId="7" fillId="18" borderId="38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wrapText="1"/>
    </xf>
    <xf numFmtId="0" fontId="1" fillId="18" borderId="0" xfId="0" applyFont="1" applyFill="1" applyBorder="1" applyAlignment="1" applyProtection="1">
      <alignment horizontal="left"/>
      <protection locked="0"/>
    </xf>
    <xf numFmtId="0" fontId="3" fillId="18" borderId="0" xfId="0" applyFont="1" applyFill="1" applyBorder="1" applyAlignment="1" applyProtection="1">
      <alignment horizontal="left"/>
      <protection locked="0"/>
    </xf>
    <xf numFmtId="166" fontId="3" fillId="18" borderId="0" xfId="0" applyNumberFormat="1" applyFont="1" applyFill="1" applyBorder="1" applyAlignment="1" applyProtection="1">
      <alignment horizontal="left"/>
      <protection locked="0"/>
    </xf>
    <xf numFmtId="0" fontId="1" fillId="18" borderId="0" xfId="0" applyFont="1" applyFill="1" applyBorder="1" applyAlignment="1" applyProtection="1">
      <alignment horizontal="center"/>
      <protection locked="0"/>
    </xf>
    <xf numFmtId="0" fontId="3" fillId="18" borderId="0" xfId="0" applyFont="1" applyFill="1" applyBorder="1" applyAlignment="1" applyProtection="1">
      <alignment horizontal="center"/>
      <protection locked="0"/>
    </xf>
    <xf numFmtId="0" fontId="5" fillId="0" borderId="0" xfId="41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center"/>
    </xf>
    <xf numFmtId="0" fontId="5" fillId="0" borderId="39" xfId="0" applyFont="1" applyBorder="1" applyAlignment="1" applyProtection="1">
      <alignment horizontal="center"/>
    </xf>
    <xf numFmtId="0" fontId="5" fillId="0" borderId="85" xfId="0" applyFont="1" applyFill="1" applyBorder="1" applyAlignment="1" applyProtection="1">
      <alignment horizontal="center" vertical="center" wrapText="1"/>
    </xf>
    <xf numFmtId="0" fontId="5" fillId="0" borderId="94" xfId="0" applyFont="1" applyFill="1" applyBorder="1" applyAlignment="1" applyProtection="1">
      <alignment horizontal="center" vertical="center" wrapText="1"/>
    </xf>
    <xf numFmtId="0" fontId="5" fillId="0" borderId="84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18" borderId="10" xfId="0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wrapText="1"/>
    </xf>
    <xf numFmtId="0" fontId="7" fillId="0" borderId="38" xfId="0" applyFont="1" applyBorder="1" applyAlignment="1" applyProtection="1">
      <alignment horizontal="center" vertical="center"/>
    </xf>
    <xf numFmtId="0" fontId="5" fillId="20" borderId="31" xfId="0" applyFont="1" applyFill="1" applyBorder="1" applyAlignment="1" applyProtection="1">
      <alignment horizontal="center" vertical="center" wrapText="1"/>
    </xf>
    <xf numFmtId="0" fontId="5" fillId="20" borderId="10" xfId="0" applyFont="1" applyFill="1" applyBorder="1" applyAlignment="1" applyProtection="1">
      <alignment horizontal="center" vertical="center" wrapText="1"/>
    </xf>
    <xf numFmtId="0" fontId="5" fillId="20" borderId="32" xfId="0" applyFont="1" applyFill="1" applyBorder="1" applyAlignment="1" applyProtection="1">
      <alignment horizontal="center" vertical="center" wrapText="1"/>
    </xf>
    <xf numFmtId="0" fontId="5" fillId="20" borderId="29" xfId="0" applyFont="1" applyFill="1" applyBorder="1" applyAlignment="1" applyProtection="1">
      <alignment horizontal="center" vertical="center" wrapText="1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0" borderId="48" xfId="0" applyFont="1" applyFill="1" applyBorder="1" applyAlignment="1" applyProtection="1">
      <alignment horizontal="left" vertical="center" wrapText="1"/>
    </xf>
    <xf numFmtId="0" fontId="8" fillId="0" borderId="50" xfId="0" applyFont="1" applyFill="1" applyBorder="1" applyAlignment="1" applyProtection="1">
      <alignment horizontal="center" vertical="center" wrapText="1"/>
    </xf>
    <xf numFmtId="0" fontId="8" fillId="0" borderId="48" xfId="0" applyFont="1" applyFill="1" applyBorder="1" applyAlignment="1" applyProtection="1">
      <alignment horizontal="left" vertical="top" wrapText="1"/>
    </xf>
    <xf numFmtId="0" fontId="8" fillId="0" borderId="50" xfId="0" applyFont="1" applyFill="1" applyBorder="1" applyAlignment="1" applyProtection="1">
      <alignment horizontal="left" vertical="top" wrapText="1"/>
    </xf>
    <xf numFmtId="44" fontId="1" fillId="0" borderId="48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center" vertical="center" wrapText="1"/>
    </xf>
    <xf numFmtId="44" fontId="1" fillId="0" borderId="50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left"/>
    </xf>
    <xf numFmtId="0" fontId="5" fillId="0" borderId="39" xfId="0" applyFont="1" applyBorder="1" applyAlignment="1" applyProtection="1">
      <alignment horizontal="left"/>
    </xf>
    <xf numFmtId="0" fontId="5" fillId="0" borderId="0" xfId="41" applyFont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left"/>
    </xf>
    <xf numFmtId="44" fontId="1" fillId="0" borderId="49" xfId="0" applyNumberFormat="1" applyFont="1" applyFill="1" applyBorder="1" applyAlignment="1" applyProtection="1">
      <alignment horizontal="center" vertical="center" shrinkToFit="1"/>
    </xf>
    <xf numFmtId="0" fontId="8" fillId="0" borderId="49" xfId="0" applyFont="1" applyFill="1" applyBorder="1" applyAlignment="1" applyProtection="1">
      <alignment horizontal="left" vertical="center" wrapText="1"/>
    </xf>
    <xf numFmtId="0" fontId="5" fillId="0" borderId="99" xfId="0" applyFont="1" applyFill="1" applyBorder="1" applyAlignment="1" applyProtection="1">
      <alignment horizontal="center" vertical="center" wrapText="1"/>
    </xf>
    <xf numFmtId="0" fontId="5" fillId="0" borderId="100" xfId="0" applyFont="1" applyFill="1" applyBorder="1" applyAlignment="1" applyProtection="1">
      <alignment horizontal="center" vertical="center" wrapText="1"/>
    </xf>
    <xf numFmtId="0" fontId="5" fillId="0" borderId="101" xfId="0" applyFont="1" applyFill="1" applyBorder="1" applyAlignment="1" applyProtection="1">
      <alignment horizontal="center" vertical="center" wrapText="1"/>
    </xf>
    <xf numFmtId="0" fontId="8" fillId="0" borderId="49" xfId="0" applyFont="1" applyFill="1" applyBorder="1" applyAlignment="1" applyProtection="1">
      <alignment horizontal="center" vertical="center" wrapText="1"/>
    </xf>
    <xf numFmtId="166" fontId="3" fillId="0" borderId="0" xfId="0" applyNumberFormat="1" applyFont="1" applyFill="1" applyBorder="1" applyAlignment="1" applyProtection="1">
      <alignment horizontal="left"/>
    </xf>
    <xf numFmtId="49" fontId="3" fillId="18" borderId="0" xfId="0" applyNumberFormat="1" applyFont="1" applyFill="1" applyBorder="1" applyAlignment="1" applyProtection="1">
      <alignment horizontal="left"/>
      <protection locked="0"/>
    </xf>
    <xf numFmtId="0" fontId="5" fillId="0" borderId="94" xfId="41" applyFont="1" applyBorder="1" applyAlignment="1" applyProtection="1">
      <alignment horizontal="left" wrapText="1"/>
    </xf>
    <xf numFmtId="0" fontId="3" fillId="18" borderId="0" xfId="41" applyFont="1" applyFill="1" applyBorder="1" applyAlignment="1" applyProtection="1">
      <alignment horizontal="left" vertical="top" wrapText="1"/>
      <protection locked="0"/>
    </xf>
    <xf numFmtId="0" fontId="5" fillId="0" borderId="94" xfId="41" applyFont="1" applyBorder="1" applyAlignment="1" applyProtection="1">
      <alignment horizontal="left"/>
    </xf>
    <xf numFmtId="4" fontId="5" fillId="20" borderId="33" xfId="0" applyNumberFormat="1" applyFont="1" applyFill="1" applyBorder="1" applyAlignment="1" applyProtection="1">
      <alignment horizontal="center" vertical="center" wrapText="1"/>
    </xf>
    <xf numFmtId="0" fontId="5" fillId="20" borderId="102" xfId="0" applyFont="1" applyFill="1" applyBorder="1" applyAlignment="1" applyProtection="1">
      <alignment horizontal="center" vertical="center" wrapText="1"/>
    </xf>
    <xf numFmtId="0" fontId="3" fillId="18" borderId="0" xfId="0" applyFont="1" applyFill="1" applyAlignment="1" applyProtection="1">
      <alignment horizontal="left"/>
      <protection locked="0"/>
    </xf>
    <xf numFmtId="0" fontId="5" fillId="20" borderId="15" xfId="0" applyFont="1" applyFill="1" applyBorder="1" applyAlignment="1" applyProtection="1">
      <alignment horizontal="center" vertical="center" wrapText="1"/>
    </xf>
    <xf numFmtId="0" fontId="5" fillId="20" borderId="14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center" vertical="center" wrapText="1"/>
    </xf>
    <xf numFmtId="0" fontId="5" fillId="0" borderId="103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20" borderId="16" xfId="0" applyFont="1" applyFill="1" applyBorder="1" applyAlignment="1" applyProtection="1">
      <alignment horizontal="center" vertical="center" wrapText="1"/>
    </xf>
    <xf numFmtId="0" fontId="5" fillId="20" borderId="42" xfId="0" applyFont="1" applyFill="1" applyBorder="1" applyAlignment="1" applyProtection="1">
      <alignment horizontal="center" vertical="center" wrapText="1"/>
    </xf>
    <xf numFmtId="0" fontId="5" fillId="20" borderId="0" xfId="0" applyFont="1" applyFill="1" applyBorder="1" applyAlignment="1" applyProtection="1">
      <alignment horizontal="center" vertical="center" wrapText="1"/>
    </xf>
    <xf numFmtId="0" fontId="5" fillId="20" borderId="39" xfId="0" applyFont="1" applyFill="1" applyBorder="1" applyAlignment="1" applyProtection="1">
      <alignment horizontal="center" vertical="center" wrapText="1"/>
    </xf>
    <xf numFmtId="0" fontId="5" fillId="20" borderId="104" xfId="0" applyFont="1" applyFill="1" applyBorder="1" applyAlignment="1" applyProtection="1">
      <alignment horizontal="center" vertical="center" wrapText="1"/>
    </xf>
    <xf numFmtId="0" fontId="5" fillId="20" borderId="47" xfId="0" applyFont="1" applyFill="1" applyBorder="1" applyAlignment="1" applyProtection="1">
      <alignment horizontal="center" vertical="center" wrapText="1"/>
    </xf>
    <xf numFmtId="0" fontId="24" fillId="0" borderId="40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0" fillId="18" borderId="12" xfId="0" applyFill="1" applyBorder="1" applyAlignment="1" applyProtection="1">
      <alignment horizontal="center" vertical="center" wrapText="1"/>
      <protection locked="0"/>
    </xf>
    <xf numFmtId="0" fontId="0" fillId="18" borderId="29" xfId="0" applyFill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35" fillId="23" borderId="38" xfId="0" applyFont="1" applyFill="1" applyBorder="1" applyAlignment="1" applyProtection="1">
      <alignment horizontal="center" vertical="center" wrapText="1"/>
    </xf>
    <xf numFmtId="0" fontId="35" fillId="23" borderId="39" xfId="0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/>
    </xf>
    <xf numFmtId="10" fontId="5" fillId="20" borderId="21" xfId="37" applyNumberFormat="1" applyFont="1" applyFill="1" applyBorder="1" applyAlignment="1" applyProtection="1">
      <alignment horizontal="center" vertical="center" wrapText="1"/>
    </xf>
    <xf numFmtId="10" fontId="5" fillId="20" borderId="44" xfId="37" applyNumberFormat="1" applyFont="1" applyFill="1" applyBorder="1" applyAlignment="1" applyProtection="1">
      <alignment horizontal="center" vertical="center" wrapText="1"/>
    </xf>
    <xf numFmtId="10" fontId="5" fillId="20" borderId="26" xfId="37" applyNumberFormat="1" applyFont="1" applyFill="1" applyBorder="1" applyAlignment="1" applyProtection="1">
      <alignment horizontal="center" vertical="center" wrapText="1"/>
    </xf>
    <xf numFmtId="0" fontId="35" fillId="23" borderId="20" xfId="0" applyFont="1" applyFill="1" applyBorder="1" applyAlignment="1" applyProtection="1">
      <alignment horizontal="center" vertical="center" wrapText="1"/>
    </xf>
    <xf numFmtId="0" fontId="35" fillId="23" borderId="9" xfId="0" applyFont="1" applyFill="1" applyBorder="1" applyAlignment="1" applyProtection="1">
      <alignment horizontal="center" vertical="center" wrapText="1"/>
    </xf>
    <xf numFmtId="0" fontId="35" fillId="23" borderId="25" xfId="0" applyFont="1" applyFill="1" applyBorder="1" applyAlignment="1" applyProtection="1">
      <alignment horizontal="center" vertical="center" wrapText="1"/>
    </xf>
    <xf numFmtId="0" fontId="36" fillId="0" borderId="9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wrapText="1"/>
    </xf>
    <xf numFmtId="0" fontId="1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2" fillId="0" borderId="0" xfId="40" applyFont="1" applyFill="1" applyBorder="1" applyAlignment="1" applyProtection="1">
      <alignment horizontal="left"/>
    </xf>
    <xf numFmtId="166" fontId="2" fillId="0" borderId="0" xfId="40" applyNumberFormat="1" applyFont="1" applyFill="1" applyBorder="1" applyAlignment="1" applyProtection="1">
      <alignment horizontal="left" vertical="top"/>
    </xf>
    <xf numFmtId="0" fontId="2" fillId="0" borderId="0" xfId="40" applyNumberFormat="1" applyFont="1" applyFill="1" applyBorder="1" applyAlignment="1" applyProtection="1">
      <alignment horizontal="left" vertical="top"/>
    </xf>
    <xf numFmtId="0" fontId="2" fillId="0" borderId="39" xfId="40" applyFont="1" applyFill="1" applyBorder="1" applyAlignment="1" applyProtection="1">
      <alignment horizontal="left"/>
    </xf>
    <xf numFmtId="166" fontId="2" fillId="0" borderId="0" xfId="40" applyNumberFormat="1" applyFont="1" applyFill="1" applyBorder="1" applyAlignment="1" applyProtection="1">
      <alignment horizontal="left"/>
    </xf>
    <xf numFmtId="0" fontId="26" fillId="0" borderId="0" xfId="40" applyFont="1" applyFill="1" applyBorder="1" applyAlignment="1" applyProtection="1">
      <alignment horizontal="left"/>
    </xf>
    <xf numFmtId="0" fontId="26" fillId="18" borderId="0" xfId="40" applyFont="1" applyFill="1" applyBorder="1" applyAlignment="1" applyProtection="1">
      <alignment horizontal="left" vertical="top"/>
      <protection locked="0"/>
    </xf>
    <xf numFmtId="0" fontId="2" fillId="18" borderId="0" xfId="40" applyFont="1" applyFill="1" applyBorder="1" applyAlignment="1" applyProtection="1">
      <alignment horizontal="left"/>
      <protection locked="0"/>
    </xf>
    <xf numFmtId="0" fontId="2" fillId="0" borderId="0" xfId="40" applyFont="1" applyFill="1" applyBorder="1" applyAlignment="1" applyProtection="1">
      <alignment horizontal="left" wrapText="1"/>
    </xf>
    <xf numFmtId="0" fontId="26" fillId="0" borderId="0" xfId="40" applyFont="1" applyFill="1" applyBorder="1" applyAlignment="1" applyProtection="1">
      <alignment horizontal="left" vertical="top"/>
    </xf>
    <xf numFmtId="0" fontId="2" fillId="0" borderId="0" xfId="40" applyNumberFormat="1" applyFont="1" applyFill="1" applyBorder="1" applyAlignment="1" applyProtection="1">
      <alignment horizontal="left" vertical="top" wrapText="1"/>
    </xf>
    <xf numFmtId="0" fontId="3" fillId="0" borderId="0" xfId="40" applyFont="1" applyAlignment="1" applyProtection="1">
      <alignment horizontal="left" wrapText="1"/>
    </xf>
    <xf numFmtId="0" fontId="3" fillId="18" borderId="0" xfId="40" applyFont="1" applyFill="1" applyBorder="1" applyAlignment="1" applyProtection="1">
      <alignment horizontal="left" vertical="top" wrapText="1"/>
      <protection locked="0"/>
    </xf>
    <xf numFmtId="0" fontId="3" fillId="0" borderId="105" xfId="40" applyBorder="1" applyAlignment="1" applyProtection="1">
      <alignment horizontal="center"/>
    </xf>
    <xf numFmtId="0" fontId="3" fillId="0" borderId="73" xfId="40" applyBorder="1" applyAlignment="1" applyProtection="1">
      <alignment horizontal="center"/>
    </xf>
    <xf numFmtId="0" fontId="3" fillId="0" borderId="0" xfId="40" applyFont="1" applyAlignment="1" applyProtection="1">
      <alignment horizontal="left" vertical="top" wrapText="1"/>
    </xf>
    <xf numFmtId="0" fontId="3" fillId="0" borderId="66" xfId="40" applyFill="1" applyBorder="1" applyAlignment="1" applyProtection="1">
      <alignment horizontal="center" vertical="center" wrapText="1"/>
    </xf>
    <xf numFmtId="0" fontId="3" fillId="0" borderId="48" xfId="40" applyFill="1" applyBorder="1" applyAlignment="1" applyProtection="1">
      <alignment horizontal="center" vertical="center" wrapText="1"/>
    </xf>
    <xf numFmtId="0" fontId="3" fillId="0" borderId="106" xfId="40" applyFont="1" applyBorder="1" applyAlignment="1" applyProtection="1">
      <alignment horizontal="center" vertical="center"/>
    </xf>
    <xf numFmtId="0" fontId="3" fillId="0" borderId="74" xfId="40" applyFont="1" applyBorder="1" applyAlignment="1" applyProtection="1">
      <alignment horizontal="center" vertical="center"/>
    </xf>
    <xf numFmtId="0" fontId="5" fillId="0" borderId="107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cel Built-in Norma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oeda" xfId="37" builtinId="4"/>
    <cellStyle name="Moeda 2" xfId="38"/>
    <cellStyle name="Neutral" xfId="39"/>
    <cellStyle name="Normal" xfId="0" builtinId="0"/>
    <cellStyle name="Normal 2" xfId="40"/>
    <cellStyle name="Normal_FICHA DE VERIFICAÇÃO PRELIMINAR - Plano R" xfId="41"/>
    <cellStyle name="Note" xfId="42"/>
    <cellStyle name="Output" xfId="43"/>
    <cellStyle name="Title" xfId="44"/>
    <cellStyle name="Warning Text" xfId="45"/>
  </cellStyles>
  <dxfs count="141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  <fill>
        <patternFill>
          <bgColor indexed="43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  <fill>
        <patternFill>
          <bgColor indexed="43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  <fill>
        <patternFill>
          <bgColor indexed="43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 val="0"/>
        <i val="0"/>
        <condense val="0"/>
        <extend val="0"/>
      </font>
      <fill>
        <patternFill>
          <bgColor indexed="5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ont>
        <b val="0"/>
        <i val="0"/>
        <condense val="0"/>
        <extend val="0"/>
      </font>
      <fill>
        <patternFill patternType="solid">
          <bgColor indexed="5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 val="0"/>
        <i val="0"/>
        <condense val="0"/>
        <extend val="0"/>
      </font>
      <fill>
        <patternFill>
          <bgColor indexed="5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ont>
        <b val="0"/>
        <i val="0"/>
        <condense val="0"/>
        <extend val="0"/>
      </font>
      <fill>
        <patternFill patternType="solid">
          <bgColor indexed="5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43"/>
        </patternFill>
      </fill>
    </dxf>
    <dxf>
      <font>
        <b val="0"/>
        <i val="0"/>
        <condense val="0"/>
        <extend val="0"/>
      </font>
      <fill>
        <patternFill patternType="solid">
          <bgColor indexed="55"/>
        </patternFill>
      </fill>
    </dxf>
    <dxf>
      <font>
        <b val="0"/>
        <i val="0"/>
        <condense val="0"/>
        <extend val="0"/>
      </font>
      <fill>
        <patternFill>
          <bgColor indexed="5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ont>
        <b val="0"/>
        <i val="0"/>
        <condense val="0"/>
        <extend val="0"/>
      </font>
      <fill>
        <patternFill patternType="solid">
          <bgColor indexed="5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371475</xdr:colOff>
      <xdr:row>36</xdr:row>
      <xdr:rowOff>19050</xdr:rowOff>
    </xdr:from>
    <xdr:to>
      <xdr:col>2</xdr:col>
      <xdr:colOff>1638300</xdr:colOff>
      <xdr:row>38</xdr:row>
      <xdr:rowOff>114300</xdr:rowOff>
    </xdr:to>
    <xdr:sp macro="[0]!start1" textlink="">
      <xdr:nvSpPr>
        <xdr:cNvPr id="5130" name="FiltroButton"/>
        <xdr:cNvSpPr txBox="1">
          <a:spLocks noChangeArrowheads="1"/>
        </xdr:cNvSpPr>
      </xdr:nvSpPr>
      <xdr:spPr bwMode="auto">
        <a:xfrm>
          <a:off x="2600325" y="5753100"/>
          <a:ext cx="1266825" cy="419100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PREENCHER QCI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333375</xdr:colOff>
      <xdr:row>6</xdr:row>
      <xdr:rowOff>133350</xdr:rowOff>
    </xdr:from>
    <xdr:to>
      <xdr:col>5</xdr:col>
      <xdr:colOff>342900</xdr:colOff>
      <xdr:row>8</xdr:row>
      <xdr:rowOff>28575</xdr:rowOff>
    </xdr:to>
    <xdr:sp macro="[0]!Incluirlinha" textlink="">
      <xdr:nvSpPr>
        <xdr:cNvPr id="1072" name="FiltroButton"/>
        <xdr:cNvSpPr txBox="1">
          <a:spLocks noChangeArrowheads="1"/>
        </xdr:cNvSpPr>
      </xdr:nvSpPr>
      <xdr:spPr bwMode="auto">
        <a:xfrm>
          <a:off x="1914525" y="2857500"/>
          <a:ext cx="1257300" cy="2000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INCLUIR LINHA</a:t>
          </a:r>
        </a:p>
      </xdr:txBody>
    </xdr:sp>
    <xdr:clientData fPrintsWithSheet="0"/>
  </xdr:twoCellAnchor>
  <xdr:twoCellAnchor editAs="absolute">
    <xdr:from>
      <xdr:col>2</xdr:col>
      <xdr:colOff>47625</xdr:colOff>
      <xdr:row>6</xdr:row>
      <xdr:rowOff>123825</xdr:rowOff>
    </xdr:from>
    <xdr:to>
      <xdr:col>4</xdr:col>
      <xdr:colOff>142875</xdr:colOff>
      <xdr:row>8</xdr:row>
      <xdr:rowOff>28575</xdr:rowOff>
    </xdr:to>
    <xdr:sp macro="[0]!Excluirlinha" textlink="">
      <xdr:nvSpPr>
        <xdr:cNvPr id="1074" name="FiltroButton"/>
        <xdr:cNvSpPr txBox="1">
          <a:spLocks noChangeArrowheads="1"/>
        </xdr:cNvSpPr>
      </xdr:nvSpPr>
      <xdr:spPr bwMode="auto">
        <a:xfrm>
          <a:off x="600075" y="2847975"/>
          <a:ext cx="1123950" cy="209550"/>
        </a:xfrm>
        <a:prstGeom prst="rect">
          <a:avLst/>
        </a:prstGeom>
        <a:solidFill>
          <a:srgbClr val="993366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EXCLUIR LINHA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419100</xdr:colOff>
      <xdr:row>13</xdr:row>
      <xdr:rowOff>95250</xdr:rowOff>
    </xdr:from>
    <xdr:to>
      <xdr:col>3</xdr:col>
      <xdr:colOff>19050</xdr:colOff>
      <xdr:row>16</xdr:row>
      <xdr:rowOff>19050</xdr:rowOff>
    </xdr:to>
    <xdr:sp macro="[0]!IncluirParc" textlink="">
      <xdr:nvSpPr>
        <xdr:cNvPr id="2069" name="FiltroButton"/>
        <xdr:cNvSpPr txBox="1">
          <a:spLocks noChangeArrowheads="1"/>
        </xdr:cNvSpPr>
      </xdr:nvSpPr>
      <xdr:spPr bwMode="auto">
        <a:xfrm>
          <a:off x="523875" y="4000500"/>
          <a:ext cx="695325" cy="3810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INCLUIR PARCELAS</a:t>
          </a:r>
        </a:p>
      </xdr:txBody>
    </xdr:sp>
    <xdr:clientData fPrintsWithSheet="0"/>
  </xdr:twoCellAnchor>
  <xdr:twoCellAnchor editAs="absolute">
    <xdr:from>
      <xdr:col>1</xdr:col>
      <xdr:colOff>428625</xdr:colOff>
      <xdr:row>10</xdr:row>
      <xdr:rowOff>9525</xdr:rowOff>
    </xdr:from>
    <xdr:to>
      <xdr:col>2</xdr:col>
      <xdr:colOff>638175</xdr:colOff>
      <xdr:row>12</xdr:row>
      <xdr:rowOff>85725</xdr:rowOff>
    </xdr:to>
    <xdr:sp macro="[0]!ExcluirParc" textlink="">
      <xdr:nvSpPr>
        <xdr:cNvPr id="2071" name="FiltroButton"/>
        <xdr:cNvSpPr txBox="1">
          <a:spLocks noChangeArrowheads="1"/>
        </xdr:cNvSpPr>
      </xdr:nvSpPr>
      <xdr:spPr bwMode="auto">
        <a:xfrm>
          <a:off x="533400" y="3457575"/>
          <a:ext cx="657225" cy="381000"/>
        </a:xfrm>
        <a:prstGeom prst="rect">
          <a:avLst/>
        </a:prstGeom>
        <a:solidFill>
          <a:srgbClr val="993366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EXCLUIR PARCELAS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26</xdr:col>
      <xdr:colOff>28575</xdr:colOff>
      <xdr:row>1</xdr:row>
      <xdr:rowOff>95250</xdr:rowOff>
    </xdr:from>
    <xdr:to>
      <xdr:col>29</xdr:col>
      <xdr:colOff>190500</xdr:colOff>
      <xdr:row>3</xdr:row>
      <xdr:rowOff>190500</xdr:rowOff>
    </xdr:to>
    <xdr:sp macro="[0]!RRE" textlink="">
      <xdr:nvSpPr>
        <xdr:cNvPr id="4114" name="RREButton"/>
        <xdr:cNvSpPr txBox="1">
          <a:spLocks noChangeArrowheads="1"/>
        </xdr:cNvSpPr>
      </xdr:nvSpPr>
      <xdr:spPr bwMode="auto">
        <a:xfrm>
          <a:off x="14220825" y="257175"/>
          <a:ext cx="819150" cy="419100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RRE CAIXA</a:t>
          </a:r>
        </a:p>
      </xdr:txBody>
    </xdr:sp>
    <xdr:clientData fPrintsWithSheet="0"/>
  </xdr:twoCellAnchor>
  <xdr:twoCellAnchor editAs="absolute">
    <xdr:from>
      <xdr:col>4</xdr:col>
      <xdr:colOff>190500</xdr:colOff>
      <xdr:row>11</xdr:row>
      <xdr:rowOff>19050</xdr:rowOff>
    </xdr:from>
    <xdr:to>
      <xdr:col>4</xdr:col>
      <xdr:colOff>2800350</xdr:colOff>
      <xdr:row>12</xdr:row>
      <xdr:rowOff>85725</xdr:rowOff>
    </xdr:to>
    <xdr:sp macro="[0]!NextSolicit" textlink="">
      <xdr:nvSpPr>
        <xdr:cNvPr id="4116" name="NextButton"/>
        <xdr:cNvSpPr txBox="1">
          <a:spLocks noChangeArrowheads="1"/>
        </xdr:cNvSpPr>
      </xdr:nvSpPr>
      <xdr:spPr bwMode="auto">
        <a:xfrm>
          <a:off x="1771650" y="3286125"/>
          <a:ext cx="2609850" cy="21907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ELABORAR PRÓXIMA SOLICITAÇÃO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>
    <pageSetUpPr fitToPage="1"/>
  </sheetPr>
  <dimension ref="A1:I52"/>
  <sheetViews>
    <sheetView showGridLines="0" view="pageBreakPreview" topLeftCell="C17" workbookViewId="0">
      <selection activeCell="H43" sqref="H43"/>
    </sheetView>
  </sheetViews>
  <sheetFormatPr defaultRowHeight="12.75"/>
  <cols>
    <col min="1" max="1" width="16.7109375" style="12" customWidth="1"/>
    <col min="2" max="2" width="16.7109375" customWidth="1"/>
    <col min="3" max="3" width="32.7109375" customWidth="1"/>
    <col min="4" max="4" width="31.140625" style="1" customWidth="1"/>
    <col min="5" max="5" width="40.7109375" customWidth="1"/>
    <col min="6" max="6" width="55.7109375" customWidth="1"/>
    <col min="7" max="7" width="18.7109375" customWidth="1"/>
    <col min="8" max="8" width="16.7109375" customWidth="1"/>
  </cols>
  <sheetData>
    <row r="1" spans="1:9" ht="12.75" customHeight="1">
      <c r="A1" s="294">
        <v>41211</v>
      </c>
      <c r="B1" s="319" t="s">
        <v>152</v>
      </c>
      <c r="C1" s="319"/>
      <c r="D1" s="319"/>
      <c r="E1" s="319"/>
      <c r="F1" s="319"/>
      <c r="G1" s="319"/>
      <c r="H1" s="320"/>
      <c r="I1" s="2"/>
    </row>
    <row r="2" spans="1:9" ht="13.5" customHeight="1">
      <c r="A2" s="293" t="s">
        <v>304</v>
      </c>
      <c r="B2" s="321"/>
      <c r="C2" s="321"/>
      <c r="D2" s="321"/>
      <c r="E2" s="321"/>
      <c r="F2" s="321"/>
      <c r="G2" s="321"/>
      <c r="H2" s="322"/>
      <c r="I2" s="2"/>
    </row>
    <row r="3" spans="1:9" ht="12.75" customHeight="1">
      <c r="A3" s="334" t="s">
        <v>153</v>
      </c>
      <c r="B3" s="335"/>
      <c r="C3" s="335"/>
      <c r="D3" s="335"/>
      <c r="E3" s="335"/>
      <c r="F3" s="335"/>
      <c r="G3" s="335"/>
      <c r="H3" s="335"/>
      <c r="I3" s="2"/>
    </row>
    <row r="4" spans="1:9">
      <c r="A4" s="35"/>
      <c r="B4" s="38"/>
      <c r="C4" s="38"/>
      <c r="D4" s="32"/>
      <c r="E4" s="38"/>
      <c r="F4" s="38"/>
      <c r="G4" s="38"/>
      <c r="H4" s="38"/>
      <c r="I4" s="2"/>
    </row>
    <row r="5" spans="1:9" s="12" customFormat="1" ht="12.75" customHeight="1">
      <c r="A5" s="336" t="s">
        <v>154</v>
      </c>
      <c r="B5" s="316"/>
      <c r="C5" s="316"/>
      <c r="D5" s="316"/>
      <c r="E5" s="316"/>
      <c r="F5" s="316"/>
      <c r="G5" s="316"/>
      <c r="H5" s="316"/>
      <c r="I5" s="34"/>
    </row>
    <row r="6" spans="1:9" ht="12.75" customHeight="1">
      <c r="A6" s="35"/>
      <c r="B6" s="38"/>
      <c r="C6" s="38"/>
      <c r="D6" s="32"/>
      <c r="E6" s="38"/>
      <c r="F6" s="38"/>
      <c r="G6" s="38"/>
      <c r="H6" s="38"/>
      <c r="I6" s="2"/>
    </row>
    <row r="7" spans="1:9" ht="12.75" customHeight="1">
      <c r="A7" s="316" t="s">
        <v>155</v>
      </c>
      <c r="B7" s="316"/>
      <c r="C7" s="316"/>
      <c r="D7" s="316"/>
      <c r="E7" s="316"/>
      <c r="F7" s="316"/>
      <c r="G7" s="316"/>
      <c r="H7" s="316"/>
      <c r="I7" s="36"/>
    </row>
    <row r="8" spans="1:9" ht="12.75" customHeight="1">
      <c r="A8" s="35"/>
      <c r="B8" s="316" t="s">
        <v>253</v>
      </c>
      <c r="C8" s="316"/>
      <c r="D8" s="316"/>
      <c r="E8" s="316"/>
      <c r="F8" s="316"/>
      <c r="G8" s="316"/>
      <c r="H8" s="316"/>
      <c r="I8" s="2"/>
    </row>
    <row r="9" spans="1:9" ht="24.95" customHeight="1">
      <c r="A9" s="35"/>
      <c r="B9" s="316" t="s">
        <v>254</v>
      </c>
      <c r="C9" s="316"/>
      <c r="D9" s="316"/>
      <c r="E9" s="316"/>
      <c r="F9" s="316"/>
      <c r="G9" s="316"/>
      <c r="H9" s="316"/>
      <c r="I9" s="2"/>
    </row>
    <row r="10" spans="1:9">
      <c r="A10" s="35"/>
      <c r="B10" s="38"/>
      <c r="C10" s="38"/>
      <c r="D10" s="32"/>
      <c r="E10" s="38"/>
      <c r="F10" s="38"/>
      <c r="G10" s="38"/>
      <c r="H10" s="38"/>
      <c r="I10" s="2"/>
    </row>
    <row r="11" spans="1:9">
      <c r="A11" s="336" t="s">
        <v>255</v>
      </c>
      <c r="B11" s="316"/>
      <c r="C11" s="316"/>
      <c r="D11" s="316"/>
      <c r="E11" s="316"/>
      <c r="F11" s="316"/>
      <c r="G11" s="316"/>
      <c r="H11" s="316"/>
      <c r="I11" s="2"/>
    </row>
    <row r="12" spans="1:9">
      <c r="A12" s="35"/>
      <c r="B12" s="38"/>
      <c r="C12" s="38"/>
      <c r="D12" s="32"/>
      <c r="E12" s="38"/>
      <c r="F12" s="38"/>
      <c r="G12" s="38"/>
      <c r="H12" s="38"/>
      <c r="I12" s="2"/>
    </row>
    <row r="13" spans="1:9">
      <c r="A13" s="336" t="s">
        <v>156</v>
      </c>
      <c r="B13" s="316"/>
      <c r="C13" s="316"/>
      <c r="D13" s="316"/>
      <c r="E13" s="316"/>
      <c r="F13" s="316"/>
      <c r="G13" s="316"/>
      <c r="H13" s="316"/>
      <c r="I13" s="2"/>
    </row>
    <row r="14" spans="1:9">
      <c r="A14" s="35"/>
      <c r="B14" s="316" t="s">
        <v>157</v>
      </c>
      <c r="C14" s="316"/>
      <c r="D14" s="316"/>
      <c r="E14" s="316"/>
      <c r="F14" s="316"/>
      <c r="G14" s="316"/>
      <c r="H14" s="316"/>
      <c r="I14" s="2"/>
    </row>
    <row r="15" spans="1:9" ht="12.75" customHeight="1">
      <c r="A15" s="295"/>
      <c r="B15" s="38"/>
      <c r="C15" s="38"/>
      <c r="D15" s="316" t="s">
        <v>262</v>
      </c>
      <c r="E15" s="316"/>
      <c r="F15" s="316"/>
      <c r="G15" s="316"/>
      <c r="H15" s="316"/>
      <c r="I15" s="2"/>
    </row>
    <row r="16" spans="1:9">
      <c r="A16" s="37"/>
      <c r="B16" s="2"/>
      <c r="C16" s="2"/>
      <c r="D16" s="33"/>
      <c r="E16" s="2"/>
      <c r="F16" s="2"/>
      <c r="G16" s="2"/>
      <c r="H16" s="2"/>
      <c r="I16" s="2"/>
    </row>
    <row r="17" spans="1:9">
      <c r="A17" s="37"/>
      <c r="B17" s="2"/>
      <c r="C17" s="2"/>
      <c r="D17" s="33"/>
      <c r="E17" s="2"/>
      <c r="F17" s="2"/>
      <c r="G17" s="2"/>
      <c r="H17" s="2"/>
      <c r="I17" s="2"/>
    </row>
    <row r="18" spans="1:9">
      <c r="A18" s="37"/>
      <c r="B18" s="2"/>
      <c r="C18" s="2"/>
      <c r="D18" s="33"/>
      <c r="E18" s="2"/>
      <c r="F18" s="2"/>
      <c r="G18" s="2"/>
      <c r="H18" s="2"/>
      <c r="I18" s="2"/>
    </row>
    <row r="19" spans="1:9">
      <c r="A19" s="37"/>
      <c r="B19" s="2"/>
      <c r="C19" s="2"/>
      <c r="D19" s="33"/>
      <c r="E19" s="2"/>
      <c r="F19" s="2"/>
      <c r="G19" s="2"/>
      <c r="H19" s="2"/>
      <c r="I19" s="2"/>
    </row>
    <row r="20" spans="1:9">
      <c r="A20" s="37"/>
      <c r="B20" s="2"/>
      <c r="C20" s="2"/>
      <c r="D20" s="33"/>
      <c r="E20" s="2"/>
      <c r="F20" s="2"/>
      <c r="G20" s="2"/>
      <c r="H20" s="2"/>
      <c r="I20" s="2"/>
    </row>
    <row r="21" spans="1:9">
      <c r="A21" s="70" t="s">
        <v>94</v>
      </c>
      <c r="B21" s="70" t="s">
        <v>95</v>
      </c>
      <c r="C21" s="70" t="s">
        <v>167</v>
      </c>
      <c r="D21" s="70" t="s">
        <v>96</v>
      </c>
      <c r="E21" s="70" t="s">
        <v>97</v>
      </c>
      <c r="F21" s="70" t="s">
        <v>98</v>
      </c>
      <c r="G21" s="71" t="s">
        <v>99</v>
      </c>
      <c r="H21" s="323" t="s">
        <v>168</v>
      </c>
      <c r="I21" s="2"/>
    </row>
    <row r="22" spans="1:9" ht="12.75" customHeight="1">
      <c r="A22" s="313"/>
      <c r="B22" s="315" t="s">
        <v>320</v>
      </c>
      <c r="C22" s="54" t="s">
        <v>221</v>
      </c>
      <c r="D22" s="315" t="s">
        <v>326</v>
      </c>
      <c r="E22" s="315" t="s">
        <v>327</v>
      </c>
      <c r="F22" s="315" t="s">
        <v>328</v>
      </c>
      <c r="G22" s="55">
        <v>43098</v>
      </c>
      <c r="H22" s="324"/>
      <c r="I22" s="2"/>
    </row>
    <row r="23" spans="1:9" ht="6" customHeight="1">
      <c r="A23" s="53"/>
      <c r="B23" s="53"/>
      <c r="C23" s="53"/>
      <c r="D23" s="53"/>
      <c r="E23" s="53"/>
      <c r="F23" s="53"/>
      <c r="G23" s="53"/>
      <c r="H23" s="53"/>
    </row>
    <row r="24" spans="1:9">
      <c r="A24" s="325" t="s">
        <v>100</v>
      </c>
      <c r="B24" s="325"/>
      <c r="C24" s="325"/>
      <c r="D24" s="325"/>
      <c r="E24" s="70" t="s">
        <v>115</v>
      </c>
      <c r="F24" s="325" t="s">
        <v>103</v>
      </c>
      <c r="G24" s="325"/>
      <c r="H24" s="70" t="str">
        <f>IF($G$31="FGTS","FINANCIAMENTO","REPASSE")</f>
        <v>REPASSE</v>
      </c>
      <c r="I24" s="2"/>
    </row>
    <row r="25" spans="1:9">
      <c r="A25" s="317" t="s">
        <v>319</v>
      </c>
      <c r="B25" s="318"/>
      <c r="C25" s="318"/>
      <c r="D25" s="318"/>
      <c r="E25" s="296" t="s">
        <v>305</v>
      </c>
      <c r="F25" s="326" t="s">
        <v>324</v>
      </c>
      <c r="G25" s="327"/>
      <c r="H25" s="56">
        <v>250000</v>
      </c>
      <c r="I25" s="2"/>
    </row>
    <row r="26" spans="1:9" ht="6" customHeight="1">
      <c r="A26" s="53"/>
      <c r="B26" s="53"/>
      <c r="C26" s="53"/>
      <c r="D26" s="53"/>
      <c r="E26" s="53"/>
      <c r="F26" s="53"/>
      <c r="G26" s="53"/>
      <c r="H26" s="53"/>
    </row>
    <row r="27" spans="1:9">
      <c r="A27" s="325" t="s">
        <v>101</v>
      </c>
      <c r="B27" s="325"/>
      <c r="C27" s="325"/>
      <c r="D27" s="325"/>
      <c r="E27" s="325"/>
      <c r="F27" s="325" t="s">
        <v>104</v>
      </c>
      <c r="G27" s="325"/>
      <c r="H27" s="70" t="s">
        <v>250</v>
      </c>
      <c r="I27" s="2"/>
    </row>
    <row r="28" spans="1:9">
      <c r="A28" s="326" t="s">
        <v>321</v>
      </c>
      <c r="B28" s="327"/>
      <c r="C28" s="327"/>
      <c r="D28" s="327"/>
      <c r="E28" s="327"/>
      <c r="F28" s="326" t="s">
        <v>322</v>
      </c>
      <c r="G28" s="327"/>
      <c r="H28" s="56">
        <v>96</v>
      </c>
      <c r="I28" s="2"/>
    </row>
    <row r="29" spans="1:9" ht="6" customHeight="1">
      <c r="A29" s="53"/>
      <c r="B29" s="53"/>
      <c r="C29" s="53"/>
      <c r="D29" s="53"/>
      <c r="E29" s="53"/>
      <c r="F29" s="53"/>
      <c r="G29" s="53"/>
      <c r="H29" s="53"/>
    </row>
    <row r="30" spans="1:9">
      <c r="A30" s="328" t="s">
        <v>102</v>
      </c>
      <c r="B30" s="329"/>
      <c r="C30" s="329"/>
      <c r="D30" s="329"/>
      <c r="E30" s="329"/>
      <c r="F30" s="330"/>
      <c r="G30" s="70" t="s">
        <v>297</v>
      </c>
      <c r="H30" s="70" t="s">
        <v>251</v>
      </c>
      <c r="I30" s="2"/>
    </row>
    <row r="31" spans="1:9">
      <c r="A31" s="331" t="s">
        <v>323</v>
      </c>
      <c r="B31" s="332"/>
      <c r="C31" s="332"/>
      <c r="D31" s="332"/>
      <c r="E31" s="332"/>
      <c r="F31" s="333"/>
      <c r="G31" s="54" t="s">
        <v>296</v>
      </c>
      <c r="H31" s="57">
        <f>H25+H28</f>
        <v>250096</v>
      </c>
      <c r="I31" s="2"/>
    </row>
    <row r="32" spans="1:9">
      <c r="A32" s="34"/>
      <c r="B32" s="2"/>
      <c r="C32" s="2"/>
      <c r="D32" s="33"/>
      <c r="E32" s="2"/>
      <c r="F32" s="2"/>
      <c r="G32" s="2"/>
      <c r="H32" s="2"/>
      <c r="I32" s="2"/>
    </row>
    <row r="33" spans="1:9">
      <c r="A33" s="34"/>
      <c r="B33" s="2"/>
      <c r="C33" s="2"/>
      <c r="D33" s="33"/>
      <c r="E33" s="2"/>
      <c r="F33" s="2"/>
      <c r="G33" s="2"/>
      <c r="H33" s="2"/>
      <c r="I33" s="2"/>
    </row>
    <row r="34" spans="1:9">
      <c r="A34" s="34"/>
      <c r="B34" s="2"/>
      <c r="C34" s="2"/>
      <c r="D34" s="33"/>
      <c r="E34" s="2"/>
      <c r="F34" s="2"/>
      <c r="G34" s="2"/>
      <c r="H34" s="2"/>
      <c r="I34" s="2"/>
    </row>
    <row r="35" spans="1:9">
      <c r="A35" s="34"/>
      <c r="B35" s="2"/>
      <c r="C35" s="2"/>
      <c r="D35" s="33"/>
      <c r="E35" s="2"/>
      <c r="F35" s="2"/>
      <c r="G35" s="2"/>
      <c r="H35" s="2"/>
      <c r="I35" s="2"/>
    </row>
    <row r="36" spans="1:9">
      <c r="A36" s="34"/>
      <c r="B36" s="2"/>
      <c r="C36" s="2"/>
      <c r="D36" s="33"/>
      <c r="E36" s="2"/>
      <c r="F36" s="2"/>
      <c r="G36" s="2"/>
      <c r="H36" s="2"/>
      <c r="I36" s="2"/>
    </row>
    <row r="37" spans="1:9">
      <c r="A37" s="34"/>
      <c r="B37" s="38"/>
      <c r="C37" s="38"/>
      <c r="D37" s="316" t="s">
        <v>283</v>
      </c>
      <c r="E37" s="316"/>
      <c r="F37" s="316"/>
      <c r="G37" s="316"/>
      <c r="H37" s="316"/>
      <c r="I37" s="2"/>
    </row>
    <row r="38" spans="1:9">
      <c r="A38" s="34"/>
      <c r="B38" s="38"/>
      <c r="C38" s="38"/>
      <c r="D38" s="316" t="s">
        <v>259</v>
      </c>
      <c r="E38" s="316"/>
      <c r="F38" s="316"/>
      <c r="G38" s="316"/>
      <c r="H38" s="316"/>
      <c r="I38" s="2"/>
    </row>
    <row r="39" spans="1:9">
      <c r="A39" s="34"/>
      <c r="B39" s="38"/>
      <c r="C39" s="38"/>
      <c r="D39" s="316" t="s">
        <v>260</v>
      </c>
      <c r="E39" s="316"/>
      <c r="F39" s="316"/>
      <c r="G39" s="316"/>
      <c r="H39" s="316"/>
      <c r="I39" s="2"/>
    </row>
    <row r="40" spans="1:9">
      <c r="A40" s="34"/>
      <c r="B40" s="38"/>
      <c r="C40" s="38"/>
      <c r="D40" s="32"/>
      <c r="E40" s="38"/>
      <c r="F40" s="38"/>
      <c r="G40" s="38"/>
      <c r="H40" s="38"/>
      <c r="I40" s="2"/>
    </row>
    <row r="41" spans="1:9">
      <c r="A41" s="34"/>
      <c r="B41" s="316" t="s">
        <v>158</v>
      </c>
      <c r="C41" s="316"/>
      <c r="D41" s="316"/>
      <c r="E41" s="316"/>
      <c r="F41" s="316"/>
      <c r="G41" s="316"/>
      <c r="H41" s="316"/>
      <c r="I41" s="2"/>
    </row>
    <row r="42" spans="1:9">
      <c r="A42" s="34"/>
      <c r="B42" s="38"/>
      <c r="C42" s="38"/>
      <c r="D42" s="316" t="s">
        <v>159</v>
      </c>
      <c r="E42" s="316"/>
      <c r="F42" s="316"/>
      <c r="G42" s="316"/>
      <c r="H42" s="316"/>
      <c r="I42" s="2"/>
    </row>
    <row r="43" spans="1:9">
      <c r="A43" s="34"/>
      <c r="B43" s="38"/>
      <c r="C43" s="38"/>
      <c r="D43" s="32"/>
      <c r="E43" s="38"/>
      <c r="F43" s="38"/>
      <c r="G43" s="38"/>
      <c r="H43" s="38"/>
      <c r="I43" s="2"/>
    </row>
    <row r="44" spans="1:9">
      <c r="A44" s="34"/>
      <c r="B44" s="316" t="s">
        <v>160</v>
      </c>
      <c r="C44" s="316"/>
      <c r="D44" s="316"/>
      <c r="E44" s="316"/>
      <c r="F44" s="316"/>
      <c r="G44" s="316"/>
      <c r="H44" s="316"/>
      <c r="I44" s="2"/>
    </row>
    <row r="45" spans="1:9">
      <c r="A45" s="34"/>
      <c r="B45" s="38"/>
      <c r="C45" s="38"/>
      <c r="D45" s="316" t="s">
        <v>161</v>
      </c>
      <c r="E45" s="316"/>
      <c r="F45" s="316"/>
      <c r="G45" s="316"/>
      <c r="H45" s="316"/>
      <c r="I45" s="2"/>
    </row>
    <row r="46" spans="1:9">
      <c r="A46" s="34"/>
      <c r="B46" s="38"/>
      <c r="C46" s="38"/>
      <c r="D46" s="316" t="s">
        <v>162</v>
      </c>
      <c r="E46" s="316"/>
      <c r="F46" s="316"/>
      <c r="G46" s="316"/>
      <c r="H46" s="316"/>
      <c r="I46" s="2"/>
    </row>
    <row r="47" spans="1:9">
      <c r="A47" s="34"/>
      <c r="B47" s="2"/>
      <c r="C47" s="2"/>
      <c r="D47" s="33"/>
      <c r="E47" s="2"/>
      <c r="F47" s="2"/>
      <c r="G47" s="2"/>
      <c r="H47" s="2"/>
      <c r="I47" s="2"/>
    </row>
    <row r="48" spans="1:9">
      <c r="A48" s="34"/>
      <c r="B48" s="2"/>
      <c r="C48" s="2"/>
      <c r="D48" s="33"/>
      <c r="E48" s="2"/>
      <c r="F48" s="2"/>
      <c r="G48" s="2"/>
      <c r="H48" s="2"/>
      <c r="I48" s="2"/>
    </row>
    <row r="49" spans="1:9">
      <c r="A49" s="34"/>
      <c r="B49" s="2"/>
      <c r="C49" s="2"/>
      <c r="D49" s="33"/>
      <c r="E49" s="2"/>
      <c r="F49" s="2"/>
      <c r="G49" s="2"/>
      <c r="H49" s="2"/>
      <c r="I49" s="2"/>
    </row>
    <row r="50" spans="1:9">
      <c r="A50" s="34"/>
      <c r="B50" s="2"/>
      <c r="C50" s="2"/>
      <c r="D50" s="89" t="s">
        <v>261</v>
      </c>
      <c r="E50" s="2"/>
      <c r="F50" s="2"/>
      <c r="G50" s="2"/>
      <c r="H50" s="2"/>
      <c r="I50" s="2"/>
    </row>
    <row r="51" spans="1:9">
      <c r="A51" s="34"/>
      <c r="B51" s="2"/>
      <c r="C51" s="2"/>
      <c r="D51" s="89" t="b">
        <f>OR(H25="",H28="")</f>
        <v>0</v>
      </c>
      <c r="E51" s="2"/>
      <c r="F51" s="2"/>
      <c r="G51" s="2"/>
      <c r="H51" s="2"/>
      <c r="I51" s="2"/>
    </row>
    <row r="52" spans="1:9">
      <c r="A52" s="34"/>
      <c r="B52" s="2"/>
      <c r="C52" s="2"/>
      <c r="D52" s="33"/>
      <c r="E52" s="2"/>
      <c r="F52" s="2"/>
      <c r="G52" s="2"/>
      <c r="H52" s="2"/>
      <c r="I52" s="2"/>
    </row>
  </sheetData>
  <sheetProtection sheet="1"/>
  <mergeCells count="29">
    <mergeCell ref="B8:H8"/>
    <mergeCell ref="B14:H14"/>
    <mergeCell ref="D15:H15"/>
    <mergeCell ref="A13:H13"/>
    <mergeCell ref="A24:D24"/>
    <mergeCell ref="B9:H9"/>
    <mergeCell ref="A11:H11"/>
    <mergeCell ref="A25:D25"/>
    <mergeCell ref="B1:H2"/>
    <mergeCell ref="D38:H38"/>
    <mergeCell ref="H21:H22"/>
    <mergeCell ref="F27:G27"/>
    <mergeCell ref="F28:G28"/>
    <mergeCell ref="D37:H37"/>
    <mergeCell ref="A30:F30"/>
    <mergeCell ref="A27:E27"/>
    <mergeCell ref="A31:F31"/>
    <mergeCell ref="A28:E28"/>
    <mergeCell ref="F25:G25"/>
    <mergeCell ref="A3:H3"/>
    <mergeCell ref="A5:H5"/>
    <mergeCell ref="A7:H7"/>
    <mergeCell ref="F24:G24"/>
    <mergeCell ref="D46:H46"/>
    <mergeCell ref="D39:H39"/>
    <mergeCell ref="B41:H41"/>
    <mergeCell ref="D42:H42"/>
    <mergeCell ref="D45:H45"/>
    <mergeCell ref="B44:H44"/>
  </mergeCells>
  <phoneticPr fontId="4" type="noConversion"/>
  <dataValidations count="9">
    <dataValidation type="list" allowBlank="1" showInputMessage="1" showErrorMessage="1" promptTitle="GIGOV:" prompt="Selecione na lista." sqref="C22">
      <formula1>ListaGIGOV</formula1>
    </dataValidation>
    <dataValidation allowBlank="1" showInputMessage="1" showErrorMessage="1" promptTitle="Nº do TC/CR:" prompt="nº do Contrato de Repasse ou Termo de Compromisso, firmado com a CAIXA." sqref="A22"/>
    <dataValidation allowBlank="1" showInputMessage="1" showErrorMessage="1" promptTitle="Nº Convenio:" prompt="nº do Convênio, ou se não houver, nº da Proposta." sqref="B22"/>
    <dataValidation allowBlank="1" showInputMessage="1" showErrorMessage="1" promptTitle="Gestor:" prompt="Ministério Gestor do Contrato:&#10;Ex: MCIDADES, MTUR, MESPORTE." sqref="D22"/>
    <dataValidation allowBlank="1" showInputMessage="1" showErrorMessage="1" promptTitle="Data de Assinatura:" prompt="Data de Assinatura do TC/CR." sqref="G22"/>
    <dataValidation allowBlank="1" showInputMessage="1" showErrorMessage="1" promptTitle="Localidade / Endereço" prompt="Localidade e Endereço da Obra." sqref="F25:G25"/>
    <dataValidation allowBlank="1" showInputMessage="1" showErrorMessage="1" promptTitle="Repasse / Financiamento:" prompt="Valor de Repasse/Financiamento do TC/CR." sqref="H25"/>
    <dataValidation allowBlank="1" showInputMessage="1" showErrorMessage="1" promptTitle="Contrapartida:" prompt="Valor de Contrapartida do TC/CR." sqref="H28"/>
    <dataValidation type="list" allowBlank="1" showInputMessage="1" showErrorMessage="1" promptTitle="RECURSO:" prompt="Selecione na lista." sqref="G31">
      <formula1>"OGU,FGTS"</formula1>
    </dataValidation>
  </dataValidations>
  <pageMargins left="0.74803149606299213" right="0.74803149606299213" top="0.98425196850393704" bottom="0.98425196850393704" header="0.51181102362204722" footer="0.51181102362204722"/>
  <pageSetup paperSize="9" scale="58" fitToHeight="2" orientation="landscape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1:AA32"/>
  <sheetViews>
    <sheetView showGridLines="0" tabSelected="1" view="pageBreakPreview" zoomScale="75" zoomScaleSheetLayoutView="75" workbookViewId="0">
      <selection activeCell="G28" sqref="G28"/>
    </sheetView>
  </sheetViews>
  <sheetFormatPr defaultColWidth="3.28515625" defaultRowHeight="12.75"/>
  <cols>
    <col min="1" max="1" width="1.5703125" style="2" customWidth="1"/>
    <col min="2" max="2" width="6.7109375" style="2" customWidth="1"/>
    <col min="3" max="3" width="9.7109375" style="2" customWidth="1"/>
    <col min="4" max="4" width="5.7109375" style="2" customWidth="1"/>
    <col min="5" max="5" width="18.7109375" style="2" customWidth="1"/>
    <col min="6" max="6" width="32.7109375" style="2" customWidth="1"/>
    <col min="7" max="7" width="35.7109375" style="2" customWidth="1"/>
    <col min="8" max="8" width="15.7109375" style="2" customWidth="1"/>
    <col min="9" max="9" width="8.7109375" style="2" customWidth="1"/>
    <col min="10" max="10" width="7.7109375" style="2" customWidth="1"/>
    <col min="11" max="15" width="17.7109375" style="2" customWidth="1"/>
    <col min="16" max="16" width="3.28515625" style="2"/>
    <col min="17" max="17" width="13.28515625" style="2" bestFit="1" customWidth="1"/>
    <col min="18" max="18" width="3.28515625" style="2"/>
    <col min="19" max="21" width="8.7109375" style="2" hidden="1" customWidth="1"/>
    <col min="22" max="22" width="13.28515625" style="2" hidden="1" customWidth="1"/>
    <col min="23" max="25" width="14.7109375" style="2" hidden="1" customWidth="1"/>
    <col min="26" max="27" width="11.7109375" style="2" hidden="1" customWidth="1"/>
    <col min="28" max="16384" width="3.28515625" style="2"/>
  </cols>
  <sheetData>
    <row r="1" spans="1:27">
      <c r="M1" s="30" t="s">
        <v>263</v>
      </c>
      <c r="W1" s="30" t="s">
        <v>264</v>
      </c>
    </row>
    <row r="2" spans="1:27">
      <c r="O2" s="21" t="s">
        <v>132</v>
      </c>
    </row>
    <row r="3" spans="1:27" ht="12.75" customHeight="1">
      <c r="B3" s="355" t="s">
        <v>78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6"/>
      <c r="O3" s="20" t="s">
        <v>131</v>
      </c>
    </row>
    <row r="4" spans="1:27" ht="150" customHeight="1" thickBot="1"/>
    <row r="5" spans="1:27" s="13" customFormat="1" ht="12.75" customHeight="1">
      <c r="B5" s="344" t="s">
        <v>1</v>
      </c>
      <c r="C5" s="362" t="s">
        <v>105</v>
      </c>
      <c r="D5" s="363"/>
      <c r="E5" s="343" t="s">
        <v>106</v>
      </c>
      <c r="F5" s="344" t="s">
        <v>107</v>
      </c>
      <c r="G5" s="365" t="s">
        <v>108</v>
      </c>
      <c r="H5" s="344" t="s">
        <v>83</v>
      </c>
      <c r="I5" s="344" t="s">
        <v>84</v>
      </c>
      <c r="J5" s="344" t="s">
        <v>85</v>
      </c>
      <c r="K5" s="343" t="s">
        <v>109</v>
      </c>
      <c r="L5" s="342" t="str">
        <f>IF(DADOS!$G$31="FGTS","Financiamento","Repasse")</f>
        <v>Repasse</v>
      </c>
      <c r="M5" s="343" t="s">
        <v>126</v>
      </c>
      <c r="N5" s="347" t="s">
        <v>127</v>
      </c>
      <c r="O5" s="340" t="s">
        <v>81</v>
      </c>
      <c r="S5" s="346" t="s">
        <v>112</v>
      </c>
      <c r="T5" s="346" t="s">
        <v>113</v>
      </c>
      <c r="U5" s="346" t="s">
        <v>268</v>
      </c>
      <c r="V5" s="346" t="s">
        <v>118</v>
      </c>
      <c r="W5" s="346" t="str">
        <f>M5</f>
        <v>Contrapartida Financeira</v>
      </c>
      <c r="X5" s="346" t="str">
        <f>N5</f>
        <v>Contrapartida Física</v>
      </c>
      <c r="Y5" s="346" t="str">
        <f>O5</f>
        <v>Investimento</v>
      </c>
      <c r="Z5" s="337" t="s">
        <v>110</v>
      </c>
      <c r="AA5" s="337" t="s">
        <v>269</v>
      </c>
    </row>
    <row r="6" spans="1:27" s="13" customFormat="1" ht="13.5" customHeight="1" thickBot="1">
      <c r="B6" s="344"/>
      <c r="C6" s="362"/>
      <c r="D6" s="363"/>
      <c r="E6" s="364"/>
      <c r="F6" s="344"/>
      <c r="G6" s="365"/>
      <c r="H6" s="344"/>
      <c r="I6" s="344"/>
      <c r="J6" s="345"/>
      <c r="K6" s="348"/>
      <c r="L6" s="342"/>
      <c r="M6" s="343"/>
      <c r="N6" s="347"/>
      <c r="O6" s="341"/>
      <c r="S6" s="346"/>
      <c r="T6" s="346"/>
      <c r="U6" s="346"/>
      <c r="V6" s="346"/>
      <c r="W6" s="346"/>
      <c r="X6" s="346"/>
      <c r="Y6" s="346"/>
      <c r="Z6" s="337"/>
      <c r="AA6" s="337"/>
    </row>
    <row r="7" spans="1:27" s="15" customFormat="1" ht="12" customHeight="1">
      <c r="A7" s="40"/>
      <c r="B7" s="163"/>
      <c r="C7" s="164"/>
      <c r="D7" s="165"/>
      <c r="E7" s="166"/>
      <c r="F7" s="166"/>
      <c r="G7" s="166"/>
      <c r="H7" s="167"/>
      <c r="I7" s="338" t="s">
        <v>80</v>
      </c>
      <c r="J7" s="339"/>
      <c r="K7" s="339"/>
      <c r="L7" s="41">
        <f ca="1">DADOS!$H$25-$L$9</f>
        <v>24113.100000000006</v>
      </c>
      <c r="M7" s="41">
        <f ca="1">DADOS!$H$28-$M$9-$N$9</f>
        <v>5.6099999999999994</v>
      </c>
      <c r="N7" s="153">
        <v>0</v>
      </c>
      <c r="O7" s="156">
        <f ca="1">DADOS!$H$31-$O$9</f>
        <v>24118.709999999992</v>
      </c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</row>
    <row r="8" spans="1:27" s="4" customFormat="1" ht="12" customHeight="1">
      <c r="B8" s="168"/>
      <c r="C8" s="161"/>
      <c r="D8" s="162"/>
      <c r="E8" s="160"/>
      <c r="F8" s="160"/>
      <c r="G8" s="160"/>
      <c r="H8" s="169"/>
      <c r="I8" s="366" t="s">
        <v>86</v>
      </c>
      <c r="J8" s="367"/>
      <c r="K8" s="367"/>
      <c r="L8" s="22">
        <f ca="1">IF(ISERROR(L9/$O9),0,L9/$O9)</f>
        <v>0.99960000405350458</v>
      </c>
      <c r="M8" s="22">
        <f ca="1">IF(ISERROR(M9/$O9),0,M9/$O9)</f>
        <v>3.9999594649533143E-4</v>
      </c>
      <c r="N8" s="154">
        <f ca="1">IF(ISERROR(N9/$O9),0,N9/$O9)</f>
        <v>0</v>
      </c>
      <c r="O8" s="157">
        <f ca="1">IF(ISERROR(O9/$O9),0,O9/$O9)</f>
        <v>1</v>
      </c>
      <c r="W8" s="42"/>
      <c r="X8" s="42"/>
      <c r="Y8" s="42"/>
      <c r="Z8" s="42" t="s">
        <v>114</v>
      </c>
      <c r="AA8" s="42"/>
    </row>
    <row r="9" spans="1:27" s="4" customFormat="1" ht="12" customHeight="1" thickBot="1">
      <c r="B9" s="170" t="s">
        <v>163</v>
      </c>
      <c r="C9" s="171"/>
      <c r="D9" s="172"/>
      <c r="E9" s="173"/>
      <c r="F9" s="173"/>
      <c r="G9" s="173"/>
      <c r="H9" s="174"/>
      <c r="I9" s="368"/>
      <c r="J9" s="369"/>
      <c r="K9" s="369"/>
      <c r="L9" s="124">
        <f ca="1">ROUND(SUMIF($V$9:$V$22,TRUE,L$9:L$22),2)</f>
        <v>225886.9</v>
      </c>
      <c r="M9" s="124">
        <f ca="1">ROUND(SUMIF($V$9:$V$22,TRUE,M$9:M$22),2)</f>
        <v>90.39</v>
      </c>
      <c r="N9" s="155">
        <f ca="1">ROUND(SUMIF($V$9:$V$22,TRUE,N$9:N$22),2)</f>
        <v>0</v>
      </c>
      <c r="O9" s="158">
        <f ca="1">ROUND(SUMIF($V$9:$V$22,TRUE,O$9:O$22),2)</f>
        <v>225977.29</v>
      </c>
      <c r="V9" s="2"/>
      <c r="W9" s="42"/>
      <c r="X9" s="42"/>
      <c r="Y9" s="42"/>
      <c r="Z9" s="42" t="s">
        <v>111</v>
      </c>
      <c r="AA9" s="42"/>
    </row>
    <row r="10" spans="1:27" s="14" customFormat="1" ht="25.5">
      <c r="A10" s="42"/>
      <c r="B10" s="183">
        <v>1</v>
      </c>
      <c r="C10" s="184" t="s">
        <v>0</v>
      </c>
      <c r="D10" s="185" t="str">
        <f t="shared" ref="D10:D21" ca="1" si="0">CONCATENATE($S10,".",IF($C10="Sub-Meta",$T10,""))</f>
        <v>1.</v>
      </c>
      <c r="E10" s="184" t="s">
        <v>12</v>
      </c>
      <c r="F10" s="186" t="s">
        <v>40</v>
      </c>
      <c r="G10" s="314" t="s">
        <v>314</v>
      </c>
      <c r="H10" s="187" t="s">
        <v>306</v>
      </c>
      <c r="I10" s="188"/>
      <c r="J10" s="189" t="str">
        <f ca="1">VLOOKUP($F10,OFFSET(Listas!$A$2,1,MATCH(QCI!$E10,Listas!$2:$2,0)-1,100,50),2,FALSE)</f>
        <v>m²</v>
      </c>
      <c r="K10" s="181"/>
      <c r="L10" s="190">
        <f t="shared" ref="L10:L16" ca="1" si="1">ROUND(O10,2)-ROUND(N10,2)-ROUND(M10,2)</f>
        <v>225886.9</v>
      </c>
      <c r="M10" s="303">
        <f ca="1">W10</f>
        <v>90.390916000000004</v>
      </c>
      <c r="N10" s="304">
        <f ca="1">X10</f>
        <v>0</v>
      </c>
      <c r="O10" s="305">
        <f ca="1">Y10</f>
        <v>225977.29</v>
      </c>
      <c r="P10" s="42"/>
      <c r="Q10" s="42"/>
      <c r="R10" s="42"/>
      <c r="S10" s="42">
        <f t="shared" ref="S10:S21" ca="1" si="2">IF($C10="Meta",OFFSET(S10,-1,0)+1,IF($C10="Sub-Meta",OFFSET(S10,-1,0),0))</f>
        <v>1</v>
      </c>
      <c r="T10" s="42">
        <f t="shared" ref="T10:T21" ca="1" si="3">IF($C10="Sub-Meta",OFFSET(T10,-1,0)+1,0)</f>
        <v>0</v>
      </c>
      <c r="U10" s="96">
        <f ca="1">IF(V10,0,COUNTIF(OFFSET($S10,1,0):$S$22,$S10))</f>
        <v>11</v>
      </c>
      <c r="V10" s="42" t="b">
        <f t="shared" ref="V10:V21" ca="1" si="4">NOT(OR($S10=0,AND($C10="Meta",OFFSET($C10,1,0)="Sub-Meta")))</f>
        <v>0</v>
      </c>
      <c r="W10" s="90">
        <f ca="1">IF($V10,ROUND(ROUND($O10,2)*DADOS!$H$28/DADOS!$H$31,2),SUMIF(OFFSET($S10,1,0):$S22,$S10,OFFSET(M10,1,0):M22))</f>
        <v>90.390916000000004</v>
      </c>
      <c r="X10" s="90">
        <f ca="1">SUMIF(OFFSET($S10,1,0):$S22,$S10,OFFSET(N10,1,0):N22)</f>
        <v>0</v>
      </c>
      <c r="Y10" s="90">
        <f t="shared" ref="Y10:Y16" ca="1" si="5">IF($V10,0,SUM(OFFSET(O10,1,0,$U10)))</f>
        <v>225977.29</v>
      </c>
      <c r="Z10" s="42" t="str">
        <f t="shared" ref="Z10:Z16" si="6">CONCATENATE("Lote ",ROW(A10)-ROW($A$8))</f>
        <v>Lote 2</v>
      </c>
      <c r="AA10" s="42">
        <f t="shared" ref="AA10:AA16" ca="1" si="7">IF(V10,B10,0)</f>
        <v>0</v>
      </c>
    </row>
    <row r="11" spans="1:27" s="14" customFormat="1" ht="25.5">
      <c r="A11" s="42"/>
      <c r="B11" s="299">
        <f t="shared" ref="B11:B21" si="8">B10</f>
        <v>1</v>
      </c>
      <c r="C11" s="175" t="s">
        <v>311</v>
      </c>
      <c r="D11" s="176" t="str">
        <f t="shared" ca="1" si="0"/>
        <v>1.1</v>
      </c>
      <c r="E11" s="175"/>
      <c r="F11" s="177"/>
      <c r="G11" s="297" t="s">
        <v>307</v>
      </c>
      <c r="H11" s="178" t="s">
        <v>306</v>
      </c>
      <c r="I11" s="179"/>
      <c r="J11" s="180" t="e">
        <f ca="1">VLOOKUP($F11,OFFSET(Listas!$A$2,1,MATCH(QCI!$E11,Listas!$2:$2,0)-1,100,50),2,FALSE)</f>
        <v>#N/A</v>
      </c>
      <c r="K11" s="181"/>
      <c r="L11" s="182">
        <f t="shared" ca="1" si="1"/>
        <v>6422.2300000000005</v>
      </c>
      <c r="M11" s="300">
        <f>O11*0.0004</f>
        <v>2.5699200000000002</v>
      </c>
      <c r="N11" s="301">
        <f t="shared" ref="N11:N16" ca="1" si="9">X11</f>
        <v>0</v>
      </c>
      <c r="O11" s="302">
        <v>6424.8</v>
      </c>
      <c r="P11" s="42"/>
      <c r="Q11" s="42"/>
      <c r="R11" s="42"/>
      <c r="S11" s="42">
        <f t="shared" ca="1" si="2"/>
        <v>1</v>
      </c>
      <c r="T11" s="42">
        <f t="shared" ca="1" si="3"/>
        <v>1</v>
      </c>
      <c r="U11" s="96">
        <f ca="1">IF(V11,0,COUNTIF(OFFSET($S11,1,0):$S$22,$S11))</f>
        <v>0</v>
      </c>
      <c r="V11" s="42" t="b">
        <f t="shared" ca="1" si="4"/>
        <v>1</v>
      </c>
      <c r="W11" s="90">
        <f ca="1">IF($V11,ROUND(ROUND($O11,2)*DADOS!$H$28/DADOS!$H$31,2),SUMIF(OFFSET($S11,1,0):$S23,$S11,OFFSET(M11,1,0):M23))</f>
        <v>2.4700000000000002</v>
      </c>
      <c r="X11" s="90">
        <f ca="1">SUMIF(OFFSET($S11,1,0):$S23,$S11,OFFSET(N11,1,0):N23)</f>
        <v>0</v>
      </c>
      <c r="Y11" s="90">
        <f t="shared" ca="1" si="5"/>
        <v>0</v>
      </c>
      <c r="Z11" s="42" t="str">
        <f t="shared" si="6"/>
        <v>Lote 3</v>
      </c>
      <c r="AA11" s="42">
        <f t="shared" ca="1" si="7"/>
        <v>1</v>
      </c>
    </row>
    <row r="12" spans="1:27" s="14" customFormat="1">
      <c r="A12" s="42"/>
      <c r="B12" s="299">
        <f t="shared" si="8"/>
        <v>1</v>
      </c>
      <c r="C12" s="175" t="s">
        <v>311</v>
      </c>
      <c r="D12" s="176" t="str">
        <f t="shared" ca="1" si="0"/>
        <v>1.2</v>
      </c>
      <c r="E12" s="175"/>
      <c r="F12" s="177"/>
      <c r="G12" s="298" t="s">
        <v>61</v>
      </c>
      <c r="H12" s="178" t="s">
        <v>306</v>
      </c>
      <c r="I12" s="179"/>
      <c r="J12" s="180" t="e">
        <f ca="1">VLOOKUP($F12,OFFSET(Listas!$A$2,1,MATCH(QCI!$E12,Listas!$2:$2,0)-1,100,50),2,FALSE)</f>
        <v>#N/A</v>
      </c>
      <c r="K12" s="181"/>
      <c r="L12" s="182">
        <f t="shared" ca="1" si="1"/>
        <v>4249.21</v>
      </c>
      <c r="M12" s="300">
        <f t="shared" ref="M12:M21" si="10">O12*0.0004</f>
        <v>1.700364</v>
      </c>
      <c r="N12" s="301">
        <f ca="1">X12</f>
        <v>0</v>
      </c>
      <c r="O12" s="302">
        <v>4250.91</v>
      </c>
      <c r="P12" s="42"/>
      <c r="Q12" s="42"/>
      <c r="R12" s="42"/>
      <c r="S12" s="42">
        <f t="shared" ca="1" si="2"/>
        <v>1</v>
      </c>
      <c r="T12" s="42">
        <f t="shared" ca="1" si="3"/>
        <v>2</v>
      </c>
      <c r="U12" s="96">
        <f ca="1">IF(V12,0,COUNTIF(OFFSET($S12,1,0):$S$22,$S12))</f>
        <v>0</v>
      </c>
      <c r="V12" s="42" t="b">
        <f t="shared" ca="1" si="4"/>
        <v>1</v>
      </c>
      <c r="W12" s="90">
        <f ca="1">IF($V12,ROUND(ROUND($O12,2)*DADOS!$H$28/DADOS!$H$31,2),SUMIF(OFFSET($S12,1,0):$S24,$S12,OFFSET(M12,1,0):M24))</f>
        <v>1.63</v>
      </c>
      <c r="X12" s="90">
        <f ca="1">SUMIF(OFFSET($S12,1,0):$S24,$S12,OFFSET(N12,1,0):N24)</f>
        <v>0</v>
      </c>
      <c r="Y12" s="90">
        <f t="shared" ca="1" si="5"/>
        <v>0</v>
      </c>
      <c r="Z12" s="42" t="str">
        <f t="shared" si="6"/>
        <v>Lote 4</v>
      </c>
      <c r="AA12" s="42">
        <f t="shared" ca="1" si="7"/>
        <v>1</v>
      </c>
    </row>
    <row r="13" spans="1:27" s="14" customFormat="1">
      <c r="A13" s="42"/>
      <c r="B13" s="299">
        <f t="shared" si="8"/>
        <v>1</v>
      </c>
      <c r="C13" s="175" t="s">
        <v>311</v>
      </c>
      <c r="D13" s="176" t="str">
        <f t="shared" ca="1" si="0"/>
        <v>1.3</v>
      </c>
      <c r="E13" s="175"/>
      <c r="F13" s="177"/>
      <c r="G13" s="311" t="s">
        <v>318</v>
      </c>
      <c r="H13" s="178" t="s">
        <v>306</v>
      </c>
      <c r="I13" s="179"/>
      <c r="J13" s="180" t="e">
        <f ca="1">VLOOKUP($F13,OFFSET(Listas!$A$2,1,MATCH(QCI!$E13,Listas!$2:$2,0)-1,100,50),2,FALSE)</f>
        <v>#N/A</v>
      </c>
      <c r="K13" s="181"/>
      <c r="L13" s="182">
        <f t="shared" ca="1" si="1"/>
        <v>0</v>
      </c>
      <c r="M13" s="300">
        <f t="shared" si="10"/>
        <v>0</v>
      </c>
      <c r="N13" s="301">
        <f t="shared" ca="1" si="9"/>
        <v>0</v>
      </c>
      <c r="O13" s="306">
        <v>0</v>
      </c>
      <c r="P13" s="42"/>
      <c r="Q13" s="42"/>
      <c r="R13" s="42"/>
      <c r="S13" s="42">
        <f t="shared" ca="1" si="2"/>
        <v>1</v>
      </c>
      <c r="T13" s="42">
        <f t="shared" ca="1" si="3"/>
        <v>3</v>
      </c>
      <c r="U13" s="96">
        <f ca="1">IF(V13,0,COUNTIF(OFFSET($S13,1,0):$S$22,$S13))</f>
        <v>0</v>
      </c>
      <c r="V13" s="42" t="b">
        <f t="shared" ca="1" si="4"/>
        <v>1</v>
      </c>
      <c r="W13" s="90">
        <f ca="1">IF($V13,ROUND(ROUND($O13,2)*DADOS!$H$28/DADOS!$H$31,2),SUMIF(OFFSET($S13,1,0):$S25,$S13,OFFSET(M13,1,0):M25))</f>
        <v>0</v>
      </c>
      <c r="X13" s="90">
        <f ca="1">SUMIF(OFFSET($S13,1,0):$S25,$S13,OFFSET(N13,1,0):N25)</f>
        <v>0</v>
      </c>
      <c r="Y13" s="90">
        <f t="shared" ca="1" si="5"/>
        <v>0</v>
      </c>
      <c r="Z13" s="42" t="str">
        <f t="shared" si="6"/>
        <v>Lote 5</v>
      </c>
      <c r="AA13" s="42">
        <f t="shared" ca="1" si="7"/>
        <v>1</v>
      </c>
    </row>
    <row r="14" spans="1:27" s="14" customFormat="1">
      <c r="A14" s="42"/>
      <c r="B14" s="299">
        <f t="shared" si="8"/>
        <v>1</v>
      </c>
      <c r="C14" s="175" t="s">
        <v>311</v>
      </c>
      <c r="D14" s="176" t="str">
        <f t="shared" ca="1" si="0"/>
        <v>1.4</v>
      </c>
      <c r="E14" s="175"/>
      <c r="F14" s="177"/>
      <c r="G14" s="298" t="s">
        <v>308</v>
      </c>
      <c r="H14" s="178" t="s">
        <v>306</v>
      </c>
      <c r="I14" s="179"/>
      <c r="J14" s="180" t="e">
        <f ca="1">VLOOKUP($F14,OFFSET(Listas!$A$2,1,MATCH(QCI!$E14,Listas!$2:$2,0)-1,100,50),2,FALSE)</f>
        <v>#N/A</v>
      </c>
      <c r="K14" s="181"/>
      <c r="L14" s="182">
        <f t="shared" ca="1" si="1"/>
        <v>0</v>
      </c>
      <c r="M14" s="300">
        <f t="shared" si="10"/>
        <v>0</v>
      </c>
      <c r="N14" s="301">
        <f t="shared" ca="1" si="9"/>
        <v>0</v>
      </c>
      <c r="O14" s="306">
        <v>0</v>
      </c>
      <c r="P14" s="42"/>
      <c r="Q14" s="42"/>
      <c r="R14" s="42"/>
      <c r="S14" s="42">
        <f t="shared" ca="1" si="2"/>
        <v>1</v>
      </c>
      <c r="T14" s="42">
        <f t="shared" ca="1" si="3"/>
        <v>4</v>
      </c>
      <c r="U14" s="96">
        <f ca="1">IF(V14,0,COUNTIF(OFFSET($S14,1,0):$S$22,$S14))</f>
        <v>0</v>
      </c>
      <c r="V14" s="42" t="b">
        <f t="shared" ca="1" si="4"/>
        <v>1</v>
      </c>
      <c r="W14" s="90">
        <f ca="1">IF($V14,ROUND(ROUND($O14,2)*DADOS!$H$28/DADOS!$H$31,2),SUMIF(OFFSET($S14,1,0):$S26,$S14,OFFSET(M14,1,0):M26))</f>
        <v>0</v>
      </c>
      <c r="X14" s="90">
        <f ca="1">SUMIF(OFFSET($S14,1,0):$S26,$S14,OFFSET(N14,1,0):N26)</f>
        <v>0</v>
      </c>
      <c r="Y14" s="90">
        <f t="shared" ca="1" si="5"/>
        <v>0</v>
      </c>
      <c r="Z14" s="42" t="str">
        <f t="shared" si="6"/>
        <v>Lote 6</v>
      </c>
      <c r="AA14" s="42">
        <f t="shared" ca="1" si="7"/>
        <v>1</v>
      </c>
    </row>
    <row r="15" spans="1:27" s="14" customFormat="1">
      <c r="A15" s="42"/>
      <c r="B15" s="299">
        <f t="shared" si="8"/>
        <v>1</v>
      </c>
      <c r="C15" s="175" t="s">
        <v>311</v>
      </c>
      <c r="D15" s="176" t="str">
        <f t="shared" ca="1" si="0"/>
        <v>1.5</v>
      </c>
      <c r="E15" s="175"/>
      <c r="F15" s="177"/>
      <c r="G15" s="311" t="s">
        <v>309</v>
      </c>
      <c r="H15" s="178" t="s">
        <v>306</v>
      </c>
      <c r="I15" s="179"/>
      <c r="J15" s="180" t="e">
        <f ca="1">VLOOKUP($F15,OFFSET(Listas!$A$2,1,MATCH(QCI!$E15,Listas!$2:$2,0)-1,100,50),2,FALSE)</f>
        <v>#N/A</v>
      </c>
      <c r="K15" s="181"/>
      <c r="L15" s="182">
        <f t="shared" ca="1" si="1"/>
        <v>77799.89</v>
      </c>
      <c r="M15" s="300">
        <f t="shared" si="10"/>
        <v>31.132408000000002</v>
      </c>
      <c r="N15" s="301">
        <f t="shared" ca="1" si="9"/>
        <v>0</v>
      </c>
      <c r="O15" s="306">
        <v>77831.02</v>
      </c>
      <c r="P15" s="42"/>
      <c r="Q15" s="42"/>
      <c r="R15" s="42"/>
      <c r="S15" s="42">
        <f t="shared" ca="1" si="2"/>
        <v>1</v>
      </c>
      <c r="T15" s="42">
        <f t="shared" ca="1" si="3"/>
        <v>5</v>
      </c>
      <c r="U15" s="96">
        <f ca="1">IF(V15,0,COUNTIF(OFFSET($S15,1,0):$S$22,$S15))</f>
        <v>0</v>
      </c>
      <c r="V15" s="42" t="b">
        <f t="shared" ca="1" si="4"/>
        <v>1</v>
      </c>
      <c r="W15" s="90">
        <f ca="1">IF($V15,ROUND(ROUND($O15,2)*DADOS!$H$28/DADOS!$H$31,2),SUMIF(OFFSET($S15,1,0):$S27,$S15,OFFSET(M15,1,0):M27))</f>
        <v>29.88</v>
      </c>
      <c r="X15" s="90">
        <f ca="1">SUMIF(OFFSET($S15,1,0):$S27,$S15,OFFSET(N15,1,0):N27)</f>
        <v>0</v>
      </c>
      <c r="Y15" s="90">
        <f t="shared" ca="1" si="5"/>
        <v>0</v>
      </c>
      <c r="Z15" s="42" t="str">
        <f t="shared" si="6"/>
        <v>Lote 7</v>
      </c>
      <c r="AA15" s="42">
        <f t="shared" ca="1" si="7"/>
        <v>1</v>
      </c>
    </row>
    <row r="16" spans="1:27" s="14" customFormat="1">
      <c r="A16" s="42"/>
      <c r="B16" s="299">
        <f t="shared" si="8"/>
        <v>1</v>
      </c>
      <c r="C16" s="175" t="s">
        <v>311</v>
      </c>
      <c r="D16" s="176" t="str">
        <f t="shared" ca="1" si="0"/>
        <v>1.6</v>
      </c>
      <c r="E16" s="175"/>
      <c r="F16" s="177"/>
      <c r="G16" s="311" t="s">
        <v>312</v>
      </c>
      <c r="H16" s="178" t="s">
        <v>306</v>
      </c>
      <c r="I16" s="179"/>
      <c r="J16" s="180" t="e">
        <f ca="1">VLOOKUP($F16,OFFSET(Listas!$A$2,1,MATCH(QCI!$E16,Listas!$2:$2,0)-1,100,50),2,FALSE)</f>
        <v>#N/A</v>
      </c>
      <c r="K16" s="181"/>
      <c r="L16" s="182">
        <f t="shared" ca="1" si="1"/>
        <v>0</v>
      </c>
      <c r="M16" s="300">
        <f t="shared" si="10"/>
        <v>0</v>
      </c>
      <c r="N16" s="301">
        <f t="shared" ca="1" si="9"/>
        <v>0</v>
      </c>
      <c r="O16" s="306">
        <v>0</v>
      </c>
      <c r="P16" s="42"/>
      <c r="Q16" s="42"/>
      <c r="R16" s="42"/>
      <c r="S16" s="42">
        <f t="shared" ca="1" si="2"/>
        <v>1</v>
      </c>
      <c r="T16" s="42">
        <f t="shared" ca="1" si="3"/>
        <v>6</v>
      </c>
      <c r="U16" s="96">
        <f ca="1">IF(V16,0,COUNTIF(OFFSET($S16,1,0):$S$22,$S16))</f>
        <v>0</v>
      </c>
      <c r="V16" s="42" t="b">
        <f t="shared" ca="1" si="4"/>
        <v>1</v>
      </c>
      <c r="W16" s="90">
        <f ca="1">IF($V16,ROUND(ROUND($O16,2)*DADOS!$H$28/DADOS!$H$31,2),SUMIF(OFFSET($S16,1,0):$S28,$S16,OFFSET(M16,1,0):M28))</f>
        <v>0</v>
      </c>
      <c r="X16" s="90">
        <f ca="1">SUMIF(OFFSET($S16,1,0):$S28,$S16,OFFSET(N16,1,0):N28)</f>
        <v>0</v>
      </c>
      <c r="Y16" s="90">
        <f t="shared" ca="1" si="5"/>
        <v>0</v>
      </c>
      <c r="Z16" s="42" t="str">
        <f t="shared" si="6"/>
        <v>Lote 8</v>
      </c>
      <c r="AA16" s="42">
        <f t="shared" ca="1" si="7"/>
        <v>1</v>
      </c>
    </row>
    <row r="17" spans="1:27" s="14" customFormat="1">
      <c r="A17" s="42"/>
      <c r="B17" s="307">
        <f t="shared" si="8"/>
        <v>1</v>
      </c>
      <c r="C17" s="175" t="s">
        <v>311</v>
      </c>
      <c r="D17" s="192" t="str">
        <f t="shared" ca="1" si="0"/>
        <v>1.7</v>
      </c>
      <c r="E17" s="191"/>
      <c r="F17" s="193"/>
      <c r="G17" s="298" t="s">
        <v>310</v>
      </c>
      <c r="H17" s="194" t="s">
        <v>306</v>
      </c>
      <c r="I17" s="195"/>
      <c r="J17" s="196" t="e">
        <f ca="1">VLOOKUP($F17,OFFSET(Listas!$A$2,1,MATCH(QCI!$E17,Listas!$2:$2,0)-1,100,50),2,FALSE)</f>
        <v>#N/A</v>
      </c>
      <c r="K17" s="197"/>
      <c r="L17" s="198">
        <f ca="1">ROUND(O17,2)-ROUND(N17,2)-ROUND(M17,2)</f>
        <v>26482.97</v>
      </c>
      <c r="M17" s="300">
        <f t="shared" si="10"/>
        <v>10.597428000000001</v>
      </c>
      <c r="N17" s="308">
        <f ca="1">X17</f>
        <v>0</v>
      </c>
      <c r="O17" s="306">
        <v>26493.57</v>
      </c>
      <c r="P17" s="42"/>
      <c r="Q17" s="42"/>
      <c r="R17" s="42"/>
      <c r="S17" s="42">
        <f t="shared" ca="1" si="2"/>
        <v>1</v>
      </c>
      <c r="T17" s="42">
        <f t="shared" ca="1" si="3"/>
        <v>7</v>
      </c>
      <c r="U17" s="96">
        <f ca="1">IF(V17,0,COUNTIF(OFFSET($S17,1,0):$S$22,$S17))</f>
        <v>0</v>
      </c>
      <c r="V17" s="42" t="b">
        <f t="shared" ca="1" si="4"/>
        <v>1</v>
      </c>
      <c r="W17" s="90">
        <f ca="1">IF($V17,ROUND(ROUND($O17,2)*DADOS!$H$28/DADOS!$H$31,2),SUMIF(OFFSET($S17,1,0):$S29,$S17,OFFSET(M17,1,0):M29))</f>
        <v>10.17</v>
      </c>
      <c r="X17" s="90">
        <f ca="1">SUMIF(OFFSET($S17,1,0):$S29,$S17,OFFSET(N17,1,0):N29)</f>
        <v>0</v>
      </c>
      <c r="Y17" s="90">
        <f ca="1">IF($V17,0,SUM(OFFSET(O17,1,0,$U17)))</f>
        <v>0</v>
      </c>
      <c r="Z17" s="42" t="str">
        <f>CONCATENATE("Lote ",ROW(A17)-ROW($A$8))</f>
        <v>Lote 9</v>
      </c>
      <c r="AA17" s="42">
        <f ca="1">IF(V17,B17,0)</f>
        <v>1</v>
      </c>
    </row>
    <row r="18" spans="1:27" s="14" customFormat="1">
      <c r="A18" s="42"/>
      <c r="B18" s="307">
        <f t="shared" si="8"/>
        <v>1</v>
      </c>
      <c r="C18" s="175" t="s">
        <v>311</v>
      </c>
      <c r="D18" s="192" t="str">
        <f t="shared" ca="1" si="0"/>
        <v>1.8</v>
      </c>
      <c r="E18" s="191"/>
      <c r="F18" s="193"/>
      <c r="G18" s="311" t="s">
        <v>315</v>
      </c>
      <c r="H18" s="194" t="s">
        <v>306</v>
      </c>
      <c r="I18" s="195"/>
      <c r="J18" s="196" t="e">
        <f ca="1">VLOOKUP($F18,OFFSET(Listas!$A$2,1,MATCH(QCI!$E18,Listas!$2:$2,0)-1,100,50),2,FALSE)</f>
        <v>#N/A</v>
      </c>
      <c r="K18" s="197"/>
      <c r="L18" s="198">
        <f ca="1">ROUND(O18,2)-ROUND(N18,2)-ROUND(M18,2)</f>
        <v>28008.7</v>
      </c>
      <c r="M18" s="300">
        <f t="shared" si="10"/>
        <v>11.207964</v>
      </c>
      <c r="N18" s="308">
        <f ca="1">X18</f>
        <v>0</v>
      </c>
      <c r="O18" s="309">
        <v>28019.91</v>
      </c>
      <c r="P18" s="42"/>
      <c r="Q18" s="42"/>
      <c r="R18" s="42"/>
      <c r="S18" s="42">
        <f t="shared" ca="1" si="2"/>
        <v>1</v>
      </c>
      <c r="T18" s="42">
        <f t="shared" ca="1" si="3"/>
        <v>8</v>
      </c>
      <c r="U18" s="96">
        <f ca="1">IF(V18,0,COUNTIF(OFFSET($S18,1,0):$S$22,$S18))</f>
        <v>0</v>
      </c>
      <c r="V18" s="42" t="b">
        <f t="shared" ca="1" si="4"/>
        <v>1</v>
      </c>
      <c r="W18" s="90">
        <f ca="1">IF($V18,ROUND(ROUND($O18,2)*DADOS!$H$28/DADOS!$H$31,2),SUMIF(OFFSET($S18,1,0):$S30,$S18,OFFSET(M18,1,0):M30))</f>
        <v>10.76</v>
      </c>
      <c r="X18" s="90">
        <f ca="1">SUMIF(OFFSET($S18,1,0):$S30,$S18,OFFSET(N18,1,0):N30)</f>
        <v>0</v>
      </c>
      <c r="Y18" s="90">
        <f ca="1">IF($V18,0,SUM(OFFSET(O18,1,0,$U18)))</f>
        <v>0</v>
      </c>
      <c r="Z18" s="42" t="str">
        <f>CONCATENATE("Lote ",ROW(A18)-ROW($A$8))</f>
        <v>Lote 10</v>
      </c>
      <c r="AA18" s="42">
        <f ca="1">IF(V18,B18,0)</f>
        <v>1</v>
      </c>
    </row>
    <row r="19" spans="1:27" s="14" customFormat="1">
      <c r="A19" s="42"/>
      <c r="B19" s="307">
        <f t="shared" si="8"/>
        <v>1</v>
      </c>
      <c r="C19" s="175" t="s">
        <v>311</v>
      </c>
      <c r="D19" s="192" t="str">
        <f t="shared" ca="1" si="0"/>
        <v>1.9</v>
      </c>
      <c r="E19" s="191"/>
      <c r="F19" s="193"/>
      <c r="G19" s="312" t="s">
        <v>316</v>
      </c>
      <c r="H19" s="194" t="s">
        <v>306</v>
      </c>
      <c r="I19" s="195"/>
      <c r="J19" s="196" t="e">
        <f ca="1">VLOOKUP($F19,OFFSET(Listas!$A$2,1,MATCH(QCI!$E19,Listas!$2:$2,0)-1,100,50),2,FALSE)</f>
        <v>#N/A</v>
      </c>
      <c r="K19" s="197"/>
      <c r="L19" s="198">
        <f ca="1">ROUND(O19,2)-ROUND(N19,2)-ROUND(M19,2)</f>
        <v>16104.65</v>
      </c>
      <c r="M19" s="300">
        <f t="shared" si="10"/>
        <v>6.4444360000000005</v>
      </c>
      <c r="N19" s="308">
        <f ca="1">X19</f>
        <v>0</v>
      </c>
      <c r="O19" s="309">
        <v>16111.09</v>
      </c>
      <c r="P19" s="42"/>
      <c r="Q19" s="42"/>
      <c r="R19" s="42"/>
      <c r="S19" s="42">
        <f t="shared" ca="1" si="2"/>
        <v>1</v>
      </c>
      <c r="T19" s="42">
        <f t="shared" ca="1" si="3"/>
        <v>9</v>
      </c>
      <c r="U19" s="96">
        <f ca="1">IF(V19,0,COUNTIF(OFFSET($S19,1,0):$S$22,$S19))</f>
        <v>0</v>
      </c>
      <c r="V19" s="42" t="b">
        <f t="shared" ca="1" si="4"/>
        <v>1</v>
      </c>
      <c r="W19" s="90">
        <f ca="1">IF($V19,ROUND(ROUND($O19,2)*DADOS!$H$28/DADOS!$H$31,2),SUMIF(OFFSET($S19,1,0):$S31,$S19,OFFSET(M19,1,0):M31))</f>
        <v>6.18</v>
      </c>
      <c r="X19" s="90">
        <f ca="1">SUMIF(OFFSET($S19,1,0):$S31,$S19,OFFSET(N19,1,0):N31)</f>
        <v>0</v>
      </c>
      <c r="Y19" s="90">
        <f ca="1">IF($V19,0,SUM(OFFSET(O19,1,0,$U19)))</f>
        <v>0</v>
      </c>
      <c r="Z19" s="42" t="str">
        <f>CONCATENATE("Lote ",ROW(A19)-ROW($A$8))</f>
        <v>Lote 11</v>
      </c>
      <c r="AA19" s="42">
        <f ca="1">IF(V19,B19,0)</f>
        <v>1</v>
      </c>
    </row>
    <row r="20" spans="1:27" s="14" customFormat="1">
      <c r="A20" s="42"/>
      <c r="B20" s="307">
        <f t="shared" si="8"/>
        <v>1</v>
      </c>
      <c r="C20" s="175" t="s">
        <v>311</v>
      </c>
      <c r="D20" s="310" t="str">
        <f t="shared" ca="1" si="0"/>
        <v>1.10</v>
      </c>
      <c r="E20" s="191"/>
      <c r="F20" s="193"/>
      <c r="G20" s="312" t="s">
        <v>325</v>
      </c>
      <c r="H20" s="194" t="s">
        <v>306</v>
      </c>
      <c r="I20" s="195"/>
      <c r="J20" s="196" t="e">
        <f ca="1">VLOOKUP($F20,OFFSET(Listas!$A$2,1,MATCH(QCI!$E20,Listas!$2:$2,0)-1,100,50),2,FALSE)</f>
        <v>#N/A</v>
      </c>
      <c r="K20" s="197"/>
      <c r="L20" s="198">
        <f ca="1">ROUND(O20,2)-ROUND(N20,2)-ROUND(M20,2)</f>
        <v>45700.14</v>
      </c>
      <c r="M20" s="300">
        <f t="shared" si="10"/>
        <v>18.287372000000001</v>
      </c>
      <c r="N20" s="308">
        <f ca="1">X20</f>
        <v>0</v>
      </c>
      <c r="O20" s="309">
        <v>45718.43</v>
      </c>
      <c r="P20" s="42"/>
      <c r="Q20" s="42"/>
      <c r="R20" s="42"/>
      <c r="S20" s="42">
        <f t="shared" ca="1" si="2"/>
        <v>1</v>
      </c>
      <c r="T20" s="42">
        <f t="shared" ca="1" si="3"/>
        <v>10</v>
      </c>
      <c r="U20" s="96">
        <f ca="1">IF(V20,0,COUNTIF(OFFSET($S20,1,0):$S$22,$S20))</f>
        <v>0</v>
      </c>
      <c r="V20" s="42" t="b">
        <f t="shared" ca="1" si="4"/>
        <v>1</v>
      </c>
      <c r="W20" s="90">
        <f ca="1">IF($V20,ROUND(ROUND($O20,2)*DADOS!$H$28/DADOS!$H$31,2),SUMIF(OFFSET($S20,1,0):$S32,$S20,OFFSET(M20,1,0):M32))</f>
        <v>17.55</v>
      </c>
      <c r="X20" s="90">
        <f ca="1">SUMIF(OFFSET($S20,1,0):$S32,$S20,OFFSET(N20,1,0):N32)</f>
        <v>0</v>
      </c>
      <c r="Y20" s="90">
        <f ca="1">IF($V20,0,SUM(OFFSET(O20,1,0,$U20)))</f>
        <v>0</v>
      </c>
      <c r="Z20" s="42" t="str">
        <f>CONCATENATE("Lote ",ROW(A20)-ROW($A$8))</f>
        <v>Lote 12</v>
      </c>
      <c r="AA20" s="42">
        <f ca="1">IF(V20,B20,0)</f>
        <v>1</v>
      </c>
    </row>
    <row r="21" spans="1:27" s="14" customFormat="1" ht="13.5" thickBot="1">
      <c r="A21" s="42"/>
      <c r="B21" s="307">
        <f t="shared" si="8"/>
        <v>1</v>
      </c>
      <c r="C21" s="175" t="s">
        <v>311</v>
      </c>
      <c r="D21" s="310" t="str">
        <f t="shared" ca="1" si="0"/>
        <v>1.11</v>
      </c>
      <c r="E21" s="191"/>
      <c r="F21" s="193"/>
      <c r="G21" s="312" t="s">
        <v>317</v>
      </c>
      <c r="H21" s="194" t="s">
        <v>306</v>
      </c>
      <c r="I21" s="195"/>
      <c r="J21" s="196" t="e">
        <f ca="1">VLOOKUP($F21,OFFSET(Listas!$A$2,1,MATCH(QCI!$E21,Listas!$2:$2,0)-1,100,50),2,FALSE)</f>
        <v>#N/A</v>
      </c>
      <c r="K21" s="197"/>
      <c r="L21" s="198">
        <f ca="1">ROUND(O21,2)-ROUND(N21,2)-ROUND(M21,2)</f>
        <v>21119.11</v>
      </c>
      <c r="M21" s="300">
        <f t="shared" si="10"/>
        <v>8.4510240000000003</v>
      </c>
      <c r="N21" s="308">
        <f ca="1">X21</f>
        <v>0</v>
      </c>
      <c r="O21" s="309">
        <v>21127.56</v>
      </c>
      <c r="P21" s="42"/>
      <c r="Q21" s="42"/>
      <c r="R21" s="42"/>
      <c r="S21" s="42">
        <f t="shared" ca="1" si="2"/>
        <v>1</v>
      </c>
      <c r="T21" s="42">
        <f t="shared" ca="1" si="3"/>
        <v>11</v>
      </c>
      <c r="U21" s="96">
        <f ca="1">IF(V21,0,COUNTIF(OFFSET($S21,1,0):$S$22,$S21))</f>
        <v>0</v>
      </c>
      <c r="V21" s="42" t="b">
        <f t="shared" ca="1" si="4"/>
        <v>1</v>
      </c>
      <c r="W21" s="90">
        <f ca="1">IF($V21,ROUND(ROUND($O21,2)*DADOS!$H$28/DADOS!$H$31,2),SUMIF(OFFSET($S21,1,0):$S33,$S21,OFFSET(M21,1,0):M33))</f>
        <v>8.11</v>
      </c>
      <c r="X21" s="90">
        <f ca="1">SUMIF(OFFSET($S21,1,0):$S33,$S21,OFFSET(N21,1,0):N33)</f>
        <v>0</v>
      </c>
      <c r="Y21" s="90">
        <f ca="1">IF($V21,0,SUM(OFFSET(O21,1,0,$U21)))</f>
        <v>0</v>
      </c>
      <c r="Z21" s="42" t="str">
        <f>CONCATENATE("Lote ",ROW(A21)-ROW($A$8))</f>
        <v>Lote 13</v>
      </c>
      <c r="AA21" s="42">
        <f ca="1">IF(V21,B21,0)</f>
        <v>1</v>
      </c>
    </row>
    <row r="22" spans="1:27" s="4" customFormat="1" ht="12" customHeight="1" thickBot="1">
      <c r="B22" s="199" t="s">
        <v>164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1"/>
      <c r="P22" s="29"/>
      <c r="Q22"/>
      <c r="R22"/>
      <c r="S22"/>
      <c r="T22"/>
      <c r="U22"/>
      <c r="V22"/>
      <c r="W22"/>
      <c r="X22"/>
      <c r="Y22"/>
      <c r="Z22"/>
      <c r="AA22"/>
    </row>
    <row r="23" spans="1:27" ht="12.75" customHeight="1">
      <c r="B23" s="5"/>
      <c r="C23" s="5"/>
      <c r="D23" s="7"/>
      <c r="E23" s="6"/>
      <c r="F23" s="7"/>
      <c r="G23" s="5"/>
      <c r="H23" s="8"/>
      <c r="I23" s="8"/>
      <c r="J23" s="8"/>
      <c r="K23" s="8"/>
      <c r="L23" s="8"/>
      <c r="M23" s="8"/>
      <c r="N23" s="8"/>
      <c r="O23" s="8"/>
    </row>
    <row r="24" spans="1:27" ht="12.75" customHeight="1">
      <c r="B24" s="5"/>
      <c r="G24" s="6"/>
      <c r="H24" s="58" t="s">
        <v>117</v>
      </c>
      <c r="I24" s="352" t="s">
        <v>330</v>
      </c>
      <c r="J24" s="353"/>
      <c r="K24" s="353"/>
      <c r="L24" s="353"/>
      <c r="M24" s="8"/>
      <c r="N24" s="8"/>
      <c r="O24" s="8"/>
    </row>
    <row r="25" spans="1:27" ht="12.75" customHeight="1">
      <c r="B25" s="5"/>
      <c r="G25" s="5"/>
      <c r="H25" s="58" t="s">
        <v>116</v>
      </c>
      <c r="I25" s="351"/>
      <c r="J25" s="351"/>
      <c r="K25" s="351"/>
      <c r="L25" s="351"/>
      <c r="M25" s="8"/>
      <c r="N25" s="8"/>
      <c r="O25" s="8"/>
    </row>
    <row r="26" spans="1:27" ht="12.75" customHeight="1">
      <c r="C26" s="61"/>
      <c r="D26" s="61"/>
      <c r="E26" s="61"/>
      <c r="F26" s="59"/>
      <c r="G26" s="6"/>
      <c r="H26" s="8"/>
      <c r="I26" s="8"/>
      <c r="J26" s="8"/>
      <c r="K26" s="8"/>
      <c r="L26" s="8"/>
      <c r="M26" s="8"/>
      <c r="N26" s="8"/>
      <c r="O26" s="8"/>
    </row>
    <row r="27" spans="1:27" ht="12.75" customHeight="1">
      <c r="C27" s="354" t="s">
        <v>243</v>
      </c>
      <c r="D27" s="354"/>
      <c r="E27" s="354"/>
      <c r="F27" s="354"/>
      <c r="G27" s="6"/>
      <c r="H27" s="8"/>
      <c r="I27" s="357" t="s">
        <v>82</v>
      </c>
      <c r="J27" s="358"/>
      <c r="K27" s="361">
        <v>1</v>
      </c>
      <c r="L27" s="97">
        <f ca="1">IF(ISERROR(L28/$O28),0,L28/$O28)</f>
        <v>0.99960000405350447</v>
      </c>
      <c r="M27" s="22">
        <f ca="1">IF(ISERROR(M28/$O28),0,M28/$O28)</f>
        <v>4.0000000000000002E-4</v>
      </c>
      <c r="N27" s="22">
        <f ca="1">IF(ISERROR(N28/$O28),0,N28/$O28)</f>
        <v>0</v>
      </c>
      <c r="O27" s="22">
        <f ca="1">IF(ISERROR(O28/$O28),0,O28/$O28)</f>
        <v>1</v>
      </c>
    </row>
    <row r="28" spans="1:27" ht="12.75" customHeight="1">
      <c r="C28" s="60" t="s">
        <v>241</v>
      </c>
      <c r="D28" s="349" t="s">
        <v>329</v>
      </c>
      <c r="E28" s="349"/>
      <c r="F28" s="349"/>
      <c r="G28" s="6"/>
      <c r="H28" s="8"/>
      <c r="I28" s="359"/>
      <c r="J28" s="360"/>
      <c r="K28" s="361"/>
      <c r="L28" s="125">
        <f ca="1">SUMIF($AA$9:$AA$22,$K27,L$9:L$22)</f>
        <v>225886.89999999997</v>
      </c>
      <c r="M28" s="125">
        <f ca="1">SUMIF($AA$9:$AA$22,$K27,M$9:M$22)</f>
        <v>90.390916000000004</v>
      </c>
      <c r="N28" s="125">
        <f ca="1">SUMIF($AA$9:$AA$22,$K27,N$9:N$22)</f>
        <v>0</v>
      </c>
      <c r="O28" s="125">
        <f ca="1">SUMIF($AA$9:$AA$22,$K27,O$9:O$22)</f>
        <v>225977.29</v>
      </c>
    </row>
    <row r="29" spans="1:27" ht="12.75" customHeight="1">
      <c r="C29" s="60" t="s">
        <v>242</v>
      </c>
      <c r="D29" s="349" t="s">
        <v>313</v>
      </c>
      <c r="E29" s="350"/>
      <c r="F29" s="350"/>
      <c r="G29" s="6"/>
      <c r="H29" s="8"/>
      <c r="I29" s="8"/>
      <c r="J29" s="8"/>
      <c r="K29" s="8"/>
      <c r="L29" s="8"/>
      <c r="M29" s="8"/>
      <c r="N29" s="8"/>
      <c r="O29" s="8"/>
    </row>
    <row r="30" spans="1:27">
      <c r="D30" s="9"/>
      <c r="E30" s="9"/>
      <c r="F30" s="9"/>
      <c r="G30" s="9"/>
      <c r="H30" s="9"/>
      <c r="I30" s="9"/>
      <c r="J30" s="9"/>
      <c r="K30" s="9"/>
      <c r="L30" s="9"/>
      <c r="M30" s="3"/>
      <c r="N30" s="3"/>
      <c r="O30" s="3"/>
    </row>
    <row r="31" spans="1:27">
      <c r="D31" s="9"/>
      <c r="E31" s="9"/>
      <c r="F31" s="9"/>
      <c r="G31" s="9"/>
      <c r="H31" s="9"/>
      <c r="I31" s="9"/>
      <c r="J31" s="9"/>
      <c r="K31" s="9"/>
      <c r="L31" s="9"/>
      <c r="M31" s="3"/>
      <c r="N31" s="3"/>
      <c r="O31" s="3"/>
    </row>
    <row r="32" spans="1:27">
      <c r="D32" s="9"/>
      <c r="E32" s="9"/>
      <c r="F32" s="9"/>
      <c r="G32" s="9"/>
      <c r="H32" s="9"/>
      <c r="I32" s="9"/>
      <c r="J32" s="9"/>
      <c r="K32" s="9"/>
      <c r="L32" s="9"/>
      <c r="M32" s="3"/>
      <c r="N32" s="3"/>
      <c r="O32" s="3"/>
    </row>
  </sheetData>
  <sheetProtection password="E005" sheet="1" objects="1" scenarios="1"/>
  <mergeCells count="32">
    <mergeCell ref="D29:F29"/>
    <mergeCell ref="I25:L25"/>
    <mergeCell ref="I24:L24"/>
    <mergeCell ref="C27:F27"/>
    <mergeCell ref="B3:N3"/>
    <mergeCell ref="I27:J28"/>
    <mergeCell ref="K27:K28"/>
    <mergeCell ref="B5:B6"/>
    <mergeCell ref="D28:F28"/>
    <mergeCell ref="C5:D6"/>
    <mergeCell ref="E5:E6"/>
    <mergeCell ref="I5:I6"/>
    <mergeCell ref="G5:G6"/>
    <mergeCell ref="I8:K9"/>
    <mergeCell ref="F5:F6"/>
    <mergeCell ref="H5:H6"/>
    <mergeCell ref="AA5:AA6"/>
    <mergeCell ref="I7:K7"/>
    <mergeCell ref="O5:O6"/>
    <mergeCell ref="Z5:Z6"/>
    <mergeCell ref="L5:L6"/>
    <mergeCell ref="M5:M6"/>
    <mergeCell ref="J5:J6"/>
    <mergeCell ref="S5:S6"/>
    <mergeCell ref="X5:X6"/>
    <mergeCell ref="Y5:Y6"/>
    <mergeCell ref="W5:W6"/>
    <mergeCell ref="U5:U6"/>
    <mergeCell ref="N5:N6"/>
    <mergeCell ref="V5:V6"/>
    <mergeCell ref="K5:K6"/>
    <mergeCell ref="T5:T6"/>
  </mergeCells>
  <phoneticPr fontId="4" type="noConversion"/>
  <conditionalFormatting sqref="K10:K17 H10:H17">
    <cfRule type="expression" dxfId="140" priority="77" stopIfTrue="1">
      <formula>NOT($V10)</formula>
    </cfRule>
    <cfRule type="expression" dxfId="139" priority="78" stopIfTrue="1">
      <formula>$C10="Meta"</formula>
    </cfRule>
  </conditionalFormatting>
  <conditionalFormatting sqref="C10:D17 G10:G19">
    <cfRule type="expression" dxfId="138" priority="79" stopIfTrue="1">
      <formula>$C10="Meta"</formula>
    </cfRule>
  </conditionalFormatting>
  <conditionalFormatting sqref="N10:N17">
    <cfRule type="expression" dxfId="137" priority="80" stopIfTrue="1">
      <formula>AND($K10&lt;&gt;"Adm. Direta",$N$5="Contrapartida Física",$V10)</formula>
    </cfRule>
    <cfRule type="expression" dxfId="136" priority="81" stopIfTrue="1">
      <formula>$V10</formula>
    </cfRule>
  </conditionalFormatting>
  <conditionalFormatting sqref="E10:E17">
    <cfRule type="expression" dxfId="135" priority="82" stopIfTrue="1">
      <formula>$C10="Sub-Meta"</formula>
    </cfRule>
    <cfRule type="expression" dxfId="134" priority="83" stopIfTrue="1">
      <formula>$C10="Meta"</formula>
    </cfRule>
  </conditionalFormatting>
  <conditionalFormatting sqref="B10:B17">
    <cfRule type="expression" dxfId="133" priority="84" stopIfTrue="1">
      <formula>$C10="Sub-Meta"</formula>
    </cfRule>
  </conditionalFormatting>
  <conditionalFormatting sqref="M10:M21">
    <cfRule type="expression" dxfId="132" priority="85" stopIfTrue="1">
      <formula>AND($K10="Adm. Direta",$V10)</formula>
    </cfRule>
    <cfRule type="expression" dxfId="131" priority="86" stopIfTrue="1">
      <formula>$V10</formula>
    </cfRule>
  </conditionalFormatting>
  <conditionalFormatting sqref="I10:J17">
    <cfRule type="expression" dxfId="130" priority="87" stopIfTrue="1">
      <formula>$C10="Sub-Meta"</formula>
    </cfRule>
  </conditionalFormatting>
  <conditionalFormatting sqref="L7:O7">
    <cfRule type="cellIs" dxfId="129" priority="88" stopIfTrue="1" operator="lessThan">
      <formula>0</formula>
    </cfRule>
  </conditionalFormatting>
  <conditionalFormatting sqref="L10:L17">
    <cfRule type="cellIs" dxfId="128" priority="89" stopIfTrue="1" operator="notBetween">
      <formula>0</formula>
      <formula>$O10</formula>
    </cfRule>
    <cfRule type="expression" dxfId="127" priority="90" stopIfTrue="1">
      <formula>$C10="Meta"</formula>
    </cfRule>
  </conditionalFormatting>
  <conditionalFormatting sqref="F10:F17">
    <cfRule type="expression" dxfId="126" priority="91" stopIfTrue="1">
      <formula>AND(ISERROR($J10),F10&lt;&gt;"")</formula>
    </cfRule>
    <cfRule type="expression" dxfId="125" priority="92" stopIfTrue="1">
      <formula>$C10="Sub-Meta"</formula>
    </cfRule>
    <cfRule type="expression" dxfId="124" priority="93" stopIfTrue="1">
      <formula>$C10="Meta"</formula>
    </cfRule>
  </conditionalFormatting>
  <conditionalFormatting sqref="O10:O18">
    <cfRule type="expression" dxfId="123" priority="94" stopIfTrue="1">
      <formula>$V10</formula>
    </cfRule>
  </conditionalFormatting>
  <conditionalFormatting sqref="K18 H18">
    <cfRule type="expression" dxfId="122" priority="60" stopIfTrue="1">
      <formula>NOT($V18)</formula>
    </cfRule>
    <cfRule type="expression" dxfId="121" priority="61" stopIfTrue="1">
      <formula>$C18="Meta"</formula>
    </cfRule>
  </conditionalFormatting>
  <conditionalFormatting sqref="G18 D18">
    <cfRule type="expression" dxfId="120" priority="62" stopIfTrue="1">
      <formula>$C18="Meta"</formula>
    </cfRule>
  </conditionalFormatting>
  <conditionalFormatting sqref="N18">
    <cfRule type="expression" dxfId="119" priority="63" stopIfTrue="1">
      <formula>AND($K18&lt;&gt;"Adm. Direta",$N$5="Contrapartida Física",$V18)</formula>
    </cfRule>
    <cfRule type="expression" dxfId="118" priority="64" stopIfTrue="1">
      <formula>$V18</formula>
    </cfRule>
  </conditionalFormatting>
  <conditionalFormatting sqref="E18">
    <cfRule type="expression" dxfId="117" priority="65" stopIfTrue="1">
      <formula>$C18="Sub-Meta"</formula>
    </cfRule>
    <cfRule type="expression" dxfId="116" priority="66" stopIfTrue="1">
      <formula>$C18="Meta"</formula>
    </cfRule>
  </conditionalFormatting>
  <conditionalFormatting sqref="B18">
    <cfRule type="expression" dxfId="115" priority="67" stopIfTrue="1">
      <formula>$C18="Sub-Meta"</formula>
    </cfRule>
  </conditionalFormatting>
  <conditionalFormatting sqref="I18:J18">
    <cfRule type="expression" dxfId="114" priority="70" stopIfTrue="1">
      <formula>$C18="Sub-Meta"</formula>
    </cfRule>
  </conditionalFormatting>
  <conditionalFormatting sqref="L18">
    <cfRule type="cellIs" dxfId="113" priority="71" stopIfTrue="1" operator="notBetween">
      <formula>0</formula>
      <formula>$O18</formula>
    </cfRule>
    <cfRule type="expression" dxfId="112" priority="72" stopIfTrue="1">
      <formula>$C18="Meta"</formula>
    </cfRule>
  </conditionalFormatting>
  <conditionalFormatting sqref="F18">
    <cfRule type="expression" dxfId="111" priority="73" stopIfTrue="1">
      <formula>AND(ISERROR($J18),F18&lt;&gt;"")</formula>
    </cfRule>
    <cfRule type="expression" dxfId="110" priority="74" stopIfTrue="1">
      <formula>$C18="Sub-Meta"</formula>
    </cfRule>
    <cfRule type="expression" dxfId="109" priority="75" stopIfTrue="1">
      <formula>$C18="Meta"</formula>
    </cfRule>
  </conditionalFormatting>
  <conditionalFormatting sqref="O18">
    <cfRule type="expression" dxfId="108" priority="76" stopIfTrue="1">
      <formula>$V18</formula>
    </cfRule>
  </conditionalFormatting>
  <conditionalFormatting sqref="K19:K21 H19:H21">
    <cfRule type="expression" dxfId="107" priority="43" stopIfTrue="1">
      <formula>NOT($V19)</formula>
    </cfRule>
    <cfRule type="expression" dxfId="106" priority="44" stopIfTrue="1">
      <formula>$C19="Meta"</formula>
    </cfRule>
  </conditionalFormatting>
  <conditionalFormatting sqref="D19:D21 G19:G21">
    <cfRule type="expression" dxfId="105" priority="45" stopIfTrue="1">
      <formula>$C19="Meta"</formula>
    </cfRule>
  </conditionalFormatting>
  <conditionalFormatting sqref="N19:N21">
    <cfRule type="expression" dxfId="104" priority="46" stopIfTrue="1">
      <formula>AND($K19&lt;&gt;"Adm. Direta",$N$5="Contrapartida Física",$V19)</formula>
    </cfRule>
    <cfRule type="expression" dxfId="103" priority="47" stopIfTrue="1">
      <formula>$V19</formula>
    </cfRule>
  </conditionalFormatting>
  <conditionalFormatting sqref="E19:E21">
    <cfRule type="expression" dxfId="102" priority="48" stopIfTrue="1">
      <formula>$C19="Sub-Meta"</formula>
    </cfRule>
    <cfRule type="expression" dxfId="101" priority="49" stopIfTrue="1">
      <formula>$C19="Meta"</formula>
    </cfRule>
  </conditionalFormatting>
  <conditionalFormatting sqref="B19:B21">
    <cfRule type="expression" dxfId="100" priority="50" stopIfTrue="1">
      <formula>$C19="Sub-Meta"</formula>
    </cfRule>
  </conditionalFormatting>
  <conditionalFormatting sqref="I19:J21">
    <cfRule type="expression" dxfId="99" priority="53" stopIfTrue="1">
      <formula>$C19="Sub-Meta"</formula>
    </cfRule>
  </conditionalFormatting>
  <conditionalFormatting sqref="L19:L21">
    <cfRule type="cellIs" dxfId="98" priority="54" stopIfTrue="1" operator="notBetween">
      <formula>0</formula>
      <formula>$O19</formula>
    </cfRule>
    <cfRule type="expression" dxfId="97" priority="55" stopIfTrue="1">
      <formula>$C19="Meta"</formula>
    </cfRule>
  </conditionalFormatting>
  <conditionalFormatting sqref="F19:F21">
    <cfRule type="expression" dxfId="96" priority="56" stopIfTrue="1">
      <formula>AND(ISERROR($J19),F19&lt;&gt;"")</formula>
    </cfRule>
    <cfRule type="expression" dxfId="95" priority="57" stopIfTrue="1">
      <formula>$C19="Sub-Meta"</formula>
    </cfRule>
    <cfRule type="expression" dxfId="94" priority="58" stopIfTrue="1">
      <formula>$C19="Meta"</formula>
    </cfRule>
  </conditionalFormatting>
  <conditionalFormatting sqref="O19:O21">
    <cfRule type="expression" dxfId="93" priority="59" stopIfTrue="1">
      <formula>$V19</formula>
    </cfRule>
  </conditionalFormatting>
  <conditionalFormatting sqref="G19:G21">
    <cfRule type="expression" dxfId="92" priority="8" stopIfTrue="1">
      <formula>$C19="Meta"</formula>
    </cfRule>
  </conditionalFormatting>
  <conditionalFormatting sqref="C18">
    <cfRule type="expression" dxfId="91" priority="6" stopIfTrue="1">
      <formula>$C18="Meta"</formula>
    </cfRule>
  </conditionalFormatting>
  <conditionalFormatting sqref="C19:C21">
    <cfRule type="expression" dxfId="90" priority="5" stopIfTrue="1">
      <formula>$C19="Meta"</formula>
    </cfRule>
  </conditionalFormatting>
  <conditionalFormatting sqref="O19:O21">
    <cfRule type="expression" dxfId="89" priority="3" stopIfTrue="1">
      <formula>$V19</formula>
    </cfRule>
  </conditionalFormatting>
  <conditionalFormatting sqref="G19">
    <cfRule type="expression" dxfId="88" priority="1" stopIfTrue="1">
      <formula>$C19="Meta"</formula>
    </cfRule>
  </conditionalFormatting>
  <dataValidations xWindow="603" yWindow="531" count="13">
    <dataValidation type="whole" operator="greaterThan" allowBlank="1" showInputMessage="1" showErrorMessage="1" promptTitle="Totalizador da Etapa:" prompt="Digite o nº da Etapa para visualizar os valores totais." sqref="K27:K28">
      <formula1>0</formula1>
    </dataValidation>
    <dataValidation type="date" operator="greaterThan" allowBlank="1" showInputMessage="1" showErrorMessage="1" sqref="I25">
      <formula1>36526</formula1>
    </dataValidation>
    <dataValidation type="list" allowBlank="1" showInputMessage="1" showErrorMessage="1" promptTitle="Situação:" prompt="Selecione na lista." sqref="H10:H21">
      <formula1>"Em Análise,Analise Concluída / a licitar,Licitado / Em execução, Concluído"</formula1>
    </dataValidation>
    <dataValidation type="list" allowBlank="1" showInputMessage="1" showErrorMessage="1" promptTitle="Item de Investimento:" prompt="Selecione na lista." sqref="E10:E21">
      <formula1>ItemInvestimento</formula1>
    </dataValidation>
    <dataValidation type="whole" operator="greaterThan" allowBlank="1" showInputMessage="1" showErrorMessage="1" sqref="B10:B21">
      <formula1>0</formula1>
    </dataValidation>
    <dataValidation type="list" allowBlank="1" showInputMessage="1" showErrorMessage="1" promptTitle="Meta / Sub-Meta" prompt="Selecione na lista." sqref="C10:C21">
      <formula1>"Meta,Sub-Meta"</formula1>
    </dataValidation>
    <dataValidation type="list" allowBlank="1" showInputMessage="1" showErrorMessage="1" promptTitle="Sub-Item de Investimento:" prompt="Selecione na lista." sqref="F10:F21">
      <formula1>SubItemInvestimento</formula1>
    </dataValidation>
    <dataValidation type="list" allowBlank="1" showInputMessage="1" showErrorMessage="1" promptTitle="Valor Financeiro:" prompt="Selecione na lista." sqref="N5:N6">
      <formula1>"Contrapartida Física,Rendimentos,Outros"</formula1>
    </dataValidation>
    <dataValidation type="list" allowBlank="1" showInputMessage="1" showErrorMessage="1" promptTitle="Lote de Licitação / nº do CTEF:" prompt="Para Metas / Sub-Metas não licitadas, selecione na lista o Lote de Licitação.&#10;Para Metas / Sub-Metas licitadas, digite o nº do CTEF." sqref="K10:K21">
      <formula1>IF(OR($H10="Em Análise",$H10="Analise Concluída / a licitar"),I.Lotes,I.CTEF)</formula1>
    </dataValidation>
    <dataValidation type="decimal" allowBlank="1" showInputMessage="1" showErrorMessage="1" errorTitle="Erro de Valores" error="Digite valores maiores do que 0. Para Adm. Direta, somente valores de Contrapartida Física." sqref="L10:L21">
      <formula1>0</formula1>
      <formula2>IF($K10="Adm. Direta",0,1000000000000)</formula2>
    </dataValidation>
    <dataValidation type="decimal" allowBlank="1" showInputMessage="1" showErrorMessage="1" errorTitle="Erro de Valores" error="Digite valores maiores do que 0. Valores de Contrapartida Física somente para Adm. Direta." sqref="N10:N21">
      <formula1>0</formula1>
      <formula2>IF(OR($K10="Adm. Direta",$N$5&lt;&gt;"Contrapartida Física"),1000000000000,0)</formula2>
    </dataValidation>
    <dataValidation type="decimal" allowBlank="1" showInputMessage="1" showErrorMessage="1" errorTitle="Erro de Valores" error="Digite valores maiores do que 0 e menores que o valor de Investimento. Para Adm. Direta, somente valores de Contrapartida Física." sqref="O10:O21">
      <formula1>0</formula1>
      <formula2>IF($K10="Adm. Direta",0,$O10)</formula2>
    </dataValidation>
    <dataValidation type="decimal" allowBlank="1" showInputMessage="1" showErrorMessage="1" errorTitle="Erro de Valores" error="Digite valores maiores do que 0 e menores que o valor de Investimento. Para Adm. Direta, somente valores de Contrapartida Física." promptTitle="Contrapartida Financeira:" prompt="Cálculo automático. Digite valores somente para proporções não uniformes." sqref="M10:M21">
      <formula1>0</formula1>
      <formula2>IF($K10="Adm. Direta",0,$O10)</formula2>
    </dataValidation>
  </dataValidations>
  <printOptions horizontalCentered="1"/>
  <pageMargins left="0.78740157480314965" right="0.78740157480314965" top="0.78740157480314965" bottom="0.78740157480314965" header="0" footer="0"/>
  <pageSetup paperSize="9" scale="54" orientation="landscape" r:id="rId1"/>
  <headerFooter alignWithMargins="0">
    <oddFooter>&amp;L41.211 v005  micro&amp;R&amp;P</oddFooter>
  </headerFooter>
  <drawing r:id="rId2"/>
  <legacyDrawing r:id="rId3"/>
  <oleObjects>
    <oleObject shapeId="1119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5"/>
  <dimension ref="A1:T73"/>
  <sheetViews>
    <sheetView showGridLines="0" view="pageBreakPreview" topLeftCell="A16" workbookViewId="0">
      <pane xSplit="7" topLeftCell="H1" activePane="topRight" state="frozen"/>
      <selection pane="topRight" activeCell="B62" sqref="B62:B63"/>
    </sheetView>
  </sheetViews>
  <sheetFormatPr defaultColWidth="3.28515625" defaultRowHeight="12.75"/>
  <cols>
    <col min="1" max="1" width="1.5703125" style="2" customWidth="1"/>
    <col min="2" max="2" width="6.7109375" style="2" customWidth="1"/>
    <col min="3" max="3" width="9.7109375" style="2" customWidth="1"/>
    <col min="4" max="4" width="5.7109375" style="2" customWidth="1"/>
    <col min="5" max="5" width="30.7109375" style="2" customWidth="1"/>
    <col min="6" max="6" width="14.7109375" style="2" customWidth="1"/>
    <col min="7" max="15" width="17.7109375" style="2" customWidth="1"/>
    <col min="16" max="17" width="3.28515625" style="2"/>
    <col min="18" max="18" width="3.28515625" style="2" customWidth="1"/>
    <col min="19" max="19" width="8.7109375" style="2" hidden="1" customWidth="1"/>
    <col min="20" max="20" width="13.7109375" style="2" hidden="1" customWidth="1"/>
    <col min="21" max="16384" width="3.28515625" style="2"/>
  </cols>
  <sheetData>
    <row r="1" spans="1:20">
      <c r="G1" s="30" t="s">
        <v>166</v>
      </c>
      <c r="P1" s="30" t="s">
        <v>165</v>
      </c>
    </row>
    <row r="2" spans="1:20">
      <c r="L2" s="10"/>
      <c r="M2" s="10"/>
      <c r="O2" s="21" t="str">
        <f>QCI!$O$2</f>
        <v>Grau de Sigilo</v>
      </c>
    </row>
    <row r="3" spans="1:20" ht="12.75" customHeight="1">
      <c r="D3" s="85"/>
      <c r="F3" s="85"/>
      <c r="G3" s="85"/>
      <c r="H3" s="379" t="s">
        <v>88</v>
      </c>
      <c r="I3" s="379"/>
      <c r="J3" s="379"/>
      <c r="K3" s="379"/>
      <c r="L3" s="379"/>
      <c r="M3" s="379"/>
      <c r="N3" s="380"/>
      <c r="O3" s="20" t="str">
        <f>QCI!$O$3</f>
        <v>#PUBLICO</v>
      </c>
    </row>
    <row r="4" spans="1:20" ht="150" customHeight="1"/>
    <row r="5" spans="1:20" ht="12.75" customHeight="1">
      <c r="E5" s="91" t="s">
        <v>266</v>
      </c>
      <c r="F5" s="92" t="s">
        <v>267</v>
      </c>
    </row>
    <row r="6" spans="1:20" ht="20.100000000000001" customHeight="1">
      <c r="E6" s="19" t="s">
        <v>273</v>
      </c>
      <c r="F6" s="93">
        <v>42401</v>
      </c>
      <c r="H6" s="95"/>
    </row>
    <row r="7" spans="1:20" ht="12.75" customHeight="1">
      <c r="G7" s="116">
        <f>IF($E$6="Reprogramado",-1,0)</f>
        <v>0</v>
      </c>
      <c r="H7" s="116">
        <f t="shared" ref="H7:O7" ca="1" si="0">OFFSET(H7,0,-1)+1</f>
        <v>1</v>
      </c>
      <c r="I7" s="116">
        <f t="shared" ca="1" si="0"/>
        <v>2</v>
      </c>
      <c r="J7" s="116">
        <f t="shared" ca="1" si="0"/>
        <v>3</v>
      </c>
      <c r="K7" s="116">
        <f t="shared" ca="1" si="0"/>
        <v>4</v>
      </c>
      <c r="L7" s="116">
        <f t="shared" ca="1" si="0"/>
        <v>5</v>
      </c>
      <c r="M7" s="116">
        <f t="shared" ca="1" si="0"/>
        <v>6</v>
      </c>
      <c r="N7" s="116">
        <f t="shared" ca="1" si="0"/>
        <v>7</v>
      </c>
      <c r="O7" s="116">
        <f t="shared" ca="1" si="0"/>
        <v>8</v>
      </c>
    </row>
    <row r="8" spans="1:20" s="11" customFormat="1" ht="12.75" customHeight="1">
      <c r="B8" s="344" t="s">
        <v>1</v>
      </c>
      <c r="C8" s="362" t="s">
        <v>105</v>
      </c>
      <c r="D8" s="363"/>
      <c r="E8" s="365" t="s">
        <v>108</v>
      </c>
      <c r="F8" s="16" t="s">
        <v>120</v>
      </c>
      <c r="G8" s="344" t="s">
        <v>122</v>
      </c>
      <c r="H8" s="16" t="str">
        <f ca="1">IF(H7=0,"",CONCATENATE("Parcela ",H7))</f>
        <v>Parcela 1</v>
      </c>
      <c r="I8" s="16" t="str">
        <f t="shared" ref="I8:O8" ca="1" si="1">IF(I7=0,"",CONCATENATE("Parcela ",I7))</f>
        <v>Parcela 2</v>
      </c>
      <c r="J8" s="16" t="str">
        <f t="shared" ca="1" si="1"/>
        <v>Parcela 3</v>
      </c>
      <c r="K8" s="16" t="str">
        <f t="shared" ca="1" si="1"/>
        <v>Parcela 4</v>
      </c>
      <c r="L8" s="16" t="str">
        <f t="shared" ca="1" si="1"/>
        <v>Parcela 5</v>
      </c>
      <c r="M8" s="16" t="str">
        <f t="shared" ca="1" si="1"/>
        <v>Parcela 6</v>
      </c>
      <c r="N8" s="16" t="str">
        <f t="shared" ca="1" si="1"/>
        <v>Parcela 7</v>
      </c>
      <c r="O8" s="16" t="str">
        <f t="shared" ca="1" si="1"/>
        <v>Parcela 8</v>
      </c>
    </row>
    <row r="9" spans="1:20" s="11" customFormat="1" ht="13.5" customHeight="1" thickBot="1">
      <c r="B9" s="344"/>
      <c r="C9" s="362"/>
      <c r="D9" s="363"/>
      <c r="E9" s="365"/>
      <c r="F9" s="84">
        <v>6</v>
      </c>
      <c r="G9" s="344"/>
      <c r="H9" s="94">
        <f ca="1">IF(H7=0,"Executado",IF(H7&gt;$F$9,"Extrapolado",DATE(YEAR($F$6),MONTH($F$6)+H7-1,1)))</f>
        <v>42401</v>
      </c>
      <c r="I9" s="94">
        <f t="shared" ref="I9:O9" ca="1" si="2">IF(I7=0,"Executado",IF(I7&gt;$F$9,"Extrapolado",DATE(YEAR($F$6),MONTH($F$6)+I7-1,1)))</f>
        <v>42430</v>
      </c>
      <c r="J9" s="94">
        <f t="shared" ca="1" si="2"/>
        <v>42461</v>
      </c>
      <c r="K9" s="94">
        <f t="shared" ca="1" si="2"/>
        <v>42491</v>
      </c>
      <c r="L9" s="94">
        <f t="shared" ca="1" si="2"/>
        <v>42522</v>
      </c>
      <c r="M9" s="94">
        <f t="shared" ca="1" si="2"/>
        <v>42552</v>
      </c>
      <c r="N9" s="94" t="str">
        <f t="shared" ca="1" si="2"/>
        <v>Extrapolado</v>
      </c>
      <c r="O9" s="94" t="str">
        <f t="shared" ca="1" si="2"/>
        <v>Extrapolado</v>
      </c>
    </row>
    <row r="10" spans="1:20" s="17" customFormat="1" ht="12" customHeight="1">
      <c r="A10" s="43"/>
      <c r="B10" s="163"/>
      <c r="C10" s="166"/>
      <c r="D10" s="202"/>
      <c r="E10" s="385" t="s">
        <v>119</v>
      </c>
      <c r="F10" s="230" t="s">
        <v>123</v>
      </c>
      <c r="G10" s="223" t="s">
        <v>89</v>
      </c>
      <c r="H10" s="235">
        <f ca="1">IF(OFFSET(H$8,0,-1)="Valores Totais (R$)",H14,H14-G14)</f>
        <v>4.1599047408701996E-2</v>
      </c>
      <c r="I10" s="240">
        <f t="shared" ref="I10:O10" ca="1" si="3">IF(OFFSET(I$8,0,-1)="Valores Totais (R$)",I14,I14-H14)</f>
        <v>1.7367364658634504E-2</v>
      </c>
      <c r="J10" s="240">
        <f t="shared" ca="1" si="3"/>
        <v>3.6522829351568899E-2</v>
      </c>
      <c r="K10" s="240">
        <f t="shared" ca="1" si="3"/>
        <v>0.12885480660468135</v>
      </c>
      <c r="L10" s="240">
        <f t="shared" ca="1" si="3"/>
        <v>0.31440730172487696</v>
      </c>
      <c r="M10" s="240">
        <f t="shared" ca="1" si="3"/>
        <v>0.46124865025153627</v>
      </c>
      <c r="N10" s="240">
        <f t="shared" ca="1" si="3"/>
        <v>0</v>
      </c>
      <c r="O10" s="240">
        <f t="shared" ca="1" si="3"/>
        <v>0</v>
      </c>
      <c r="P10" s="120"/>
      <c r="Q10" s="43"/>
      <c r="R10" s="43"/>
      <c r="S10" s="43"/>
      <c r="T10" s="43"/>
    </row>
    <row r="11" spans="1:20" s="17" customFormat="1" ht="12" customHeight="1">
      <c r="A11" s="43"/>
      <c r="B11" s="168"/>
      <c r="C11" s="160"/>
      <c r="D11" s="203"/>
      <c r="E11" s="386"/>
      <c r="F11" s="231" t="str">
        <f>IF(DADOS!$G$31="FGTS","Financ. (R$)","Repasse (R$)")</f>
        <v>Repasse (R$)</v>
      </c>
      <c r="G11" s="224" t="s">
        <v>89</v>
      </c>
      <c r="H11" s="236">
        <f ca="1">IF(OFFSET(H$8,0,-1)="Valores Totais (R$)",H15,H15-G15)</f>
        <v>9396.68</v>
      </c>
      <c r="I11" s="241">
        <f t="shared" ref="I11:O11" ca="1" si="4">IF(OFFSET(I$8,0,-1)="Valores Totais (R$)",I15,I15-H15)</f>
        <v>3923.0599999999995</v>
      </c>
      <c r="J11" s="241">
        <f t="shared" ca="1" si="4"/>
        <v>8250.029999999997</v>
      </c>
      <c r="K11" s="241">
        <f t="shared" ca="1" si="4"/>
        <v>29106.61</v>
      </c>
      <c r="L11" s="241">
        <f t="shared" ca="1" si="4"/>
        <v>71020.48000000001</v>
      </c>
      <c r="M11" s="241">
        <f t="shared" ca="1" si="4"/>
        <v>104190.04</v>
      </c>
      <c r="N11" s="241">
        <f t="shared" ca="1" si="4"/>
        <v>0</v>
      </c>
      <c r="O11" s="241">
        <f t="shared" ca="1" si="4"/>
        <v>0</v>
      </c>
      <c r="P11" s="121"/>
      <c r="Q11" s="43"/>
      <c r="R11" s="43"/>
      <c r="S11" s="43"/>
      <c r="T11" s="43"/>
    </row>
    <row r="12" spans="1:20" s="17" customFormat="1" ht="12" customHeight="1">
      <c r="A12" s="43"/>
      <c r="B12" s="168"/>
      <c r="C12" s="160"/>
      <c r="D12" s="203"/>
      <c r="E12" s="386"/>
      <c r="F12" s="232" t="s">
        <v>124</v>
      </c>
      <c r="G12" s="225" t="s">
        <v>89</v>
      </c>
      <c r="H12" s="237">
        <f ca="1">IF(OFFSET(H$8,0,-1)="Valores Totais (R$)",H16,H16-G16)</f>
        <v>3.76</v>
      </c>
      <c r="I12" s="242">
        <f t="shared" ref="I12:O12" ca="1" si="5">IF(OFFSET(I$8,0,-1)="Valores Totais (R$)",I16,I16-H16)</f>
        <v>1.5700000000000003</v>
      </c>
      <c r="J12" s="242">
        <f t="shared" ca="1" si="5"/>
        <v>3.2999999999999989</v>
      </c>
      <c r="K12" s="242">
        <f t="shared" ca="1" si="5"/>
        <v>11.650000000000002</v>
      </c>
      <c r="L12" s="242">
        <f t="shared" ca="1" si="5"/>
        <v>28.43</v>
      </c>
      <c r="M12" s="242">
        <f t="shared" ca="1" si="5"/>
        <v>41.68</v>
      </c>
      <c r="N12" s="242">
        <f t="shared" ca="1" si="5"/>
        <v>0</v>
      </c>
      <c r="O12" s="242">
        <f t="shared" ca="1" si="5"/>
        <v>0</v>
      </c>
      <c r="P12" s="121"/>
      <c r="Q12" s="43"/>
      <c r="R12" s="43"/>
      <c r="S12" s="43"/>
      <c r="T12" s="43"/>
    </row>
    <row r="13" spans="1:20" s="17" customFormat="1" ht="12" customHeight="1">
      <c r="A13" s="43"/>
      <c r="B13" s="168"/>
      <c r="C13" s="160"/>
      <c r="D13" s="203"/>
      <c r="E13" s="386"/>
      <c r="F13" s="231" t="s">
        <v>125</v>
      </c>
      <c r="G13" s="224" t="s">
        <v>89</v>
      </c>
      <c r="H13" s="236">
        <f ca="1">IF(OFFSET(H$8,0,-1)="Valores Totais (R$)",H17,H17-G17)</f>
        <v>9400.44</v>
      </c>
      <c r="I13" s="241">
        <f t="shared" ref="I13:O13" ca="1" si="6">IF(OFFSET(I$8,0,-1)="Valores Totais (R$)",I17,I17-H17)</f>
        <v>3924.6299999999992</v>
      </c>
      <c r="J13" s="241">
        <f t="shared" ca="1" si="6"/>
        <v>8253.3299999999981</v>
      </c>
      <c r="K13" s="241">
        <f t="shared" ca="1" si="6"/>
        <v>29118.26</v>
      </c>
      <c r="L13" s="241">
        <f t="shared" ca="1" si="6"/>
        <v>71048.91</v>
      </c>
      <c r="M13" s="241">
        <f t="shared" ca="1" si="6"/>
        <v>104231.72</v>
      </c>
      <c r="N13" s="241">
        <f t="shared" ca="1" si="6"/>
        <v>0</v>
      </c>
      <c r="O13" s="241">
        <f t="shared" ca="1" si="6"/>
        <v>0</v>
      </c>
      <c r="P13" s="222"/>
      <c r="Q13" s="43"/>
      <c r="R13" s="43"/>
      <c r="S13" s="43"/>
      <c r="T13" s="43"/>
    </row>
    <row r="14" spans="1:20" s="4" customFormat="1" ht="12" customHeight="1">
      <c r="B14" s="168"/>
      <c r="C14" s="160"/>
      <c r="D14" s="203"/>
      <c r="E14" s="386" t="s">
        <v>121</v>
      </c>
      <c r="F14" s="233" t="s">
        <v>123</v>
      </c>
      <c r="G14" s="226" t="s">
        <v>89</v>
      </c>
      <c r="H14" s="238">
        <f ca="1">H17/$G17</f>
        <v>4.1599047408701996E-2</v>
      </c>
      <c r="I14" s="243">
        <f t="shared" ref="I14:O14" ca="1" si="7">I17/$G17</f>
        <v>5.89664120673365E-2</v>
      </c>
      <c r="J14" s="243">
        <f t="shared" ca="1" si="7"/>
        <v>9.5489241418905399E-2</v>
      </c>
      <c r="K14" s="243">
        <f t="shared" ca="1" si="7"/>
        <v>0.22434404802358676</v>
      </c>
      <c r="L14" s="243">
        <f t="shared" ca="1" si="7"/>
        <v>0.53875134974846373</v>
      </c>
      <c r="M14" s="243">
        <f t="shared" ca="1" si="7"/>
        <v>1</v>
      </c>
      <c r="N14" s="243">
        <f t="shared" ca="1" si="7"/>
        <v>1</v>
      </c>
      <c r="O14" s="243">
        <f t="shared" ca="1" si="7"/>
        <v>1</v>
      </c>
      <c r="P14" s="122"/>
    </row>
    <row r="15" spans="1:20" s="4" customFormat="1" ht="12" customHeight="1">
      <c r="B15" s="168"/>
      <c r="C15" s="160"/>
      <c r="D15" s="203"/>
      <c r="E15" s="386"/>
      <c r="F15" s="231" t="str">
        <f>F11</f>
        <v>Repasse (R$)</v>
      </c>
      <c r="G15" s="227">
        <f ca="1">QCI!L9</f>
        <v>225886.9</v>
      </c>
      <c r="H15" s="236">
        <f ca="1">H17-H16</f>
        <v>9396.68</v>
      </c>
      <c r="I15" s="241">
        <f t="shared" ref="I15:O15" ca="1" si="8">I17-I16</f>
        <v>13319.74</v>
      </c>
      <c r="J15" s="241">
        <f t="shared" ca="1" si="8"/>
        <v>21569.769999999997</v>
      </c>
      <c r="K15" s="241">
        <f t="shared" ca="1" si="8"/>
        <v>50676.38</v>
      </c>
      <c r="L15" s="241">
        <f t="shared" ca="1" si="8"/>
        <v>121696.86</v>
      </c>
      <c r="M15" s="241">
        <f t="shared" ca="1" si="8"/>
        <v>225886.9</v>
      </c>
      <c r="N15" s="241">
        <f t="shared" ca="1" si="8"/>
        <v>225886.9</v>
      </c>
      <c r="O15" s="241">
        <f t="shared" ca="1" si="8"/>
        <v>225886.9</v>
      </c>
      <c r="P15" s="122"/>
    </row>
    <row r="16" spans="1:20" s="4" customFormat="1" ht="12" customHeight="1">
      <c r="B16" s="168"/>
      <c r="C16" s="160"/>
      <c r="D16" s="203"/>
      <c r="E16" s="386"/>
      <c r="F16" s="232" t="s">
        <v>124</v>
      </c>
      <c r="G16" s="228">
        <f ca="1">QCI!M9+QCI!N9</f>
        <v>90.39</v>
      </c>
      <c r="H16" s="237">
        <f t="shared" ref="H16:O17" ca="1" si="9">SUMIF($F$18:$F$66,$F16,H$18:H$66)</f>
        <v>3.76</v>
      </c>
      <c r="I16" s="242">
        <f t="shared" ca="1" si="9"/>
        <v>5.33</v>
      </c>
      <c r="J16" s="242">
        <f t="shared" ca="1" si="9"/>
        <v>8.629999999999999</v>
      </c>
      <c r="K16" s="242">
        <f t="shared" ca="1" si="9"/>
        <v>20.28</v>
      </c>
      <c r="L16" s="242">
        <f t="shared" ca="1" si="9"/>
        <v>48.71</v>
      </c>
      <c r="M16" s="242">
        <f t="shared" ca="1" si="9"/>
        <v>90.39</v>
      </c>
      <c r="N16" s="242">
        <f t="shared" ca="1" si="9"/>
        <v>90.39</v>
      </c>
      <c r="O16" s="242">
        <f t="shared" ca="1" si="9"/>
        <v>90.39</v>
      </c>
      <c r="P16" s="122"/>
      <c r="S16" s="378" t="s">
        <v>268</v>
      </c>
      <c r="T16" s="378" t="s">
        <v>118</v>
      </c>
    </row>
    <row r="17" spans="1:20" s="4" customFormat="1" ht="12" customHeight="1" thickBot="1">
      <c r="B17" s="170" t="s">
        <v>163</v>
      </c>
      <c r="C17" s="288"/>
      <c r="D17" s="204"/>
      <c r="E17" s="387"/>
      <c r="F17" s="234" t="s">
        <v>125</v>
      </c>
      <c r="G17" s="229">
        <f ca="1">QCI!O9</f>
        <v>225977.29</v>
      </c>
      <c r="H17" s="239">
        <f t="shared" ca="1" si="9"/>
        <v>9400.44</v>
      </c>
      <c r="I17" s="244">
        <f t="shared" ca="1" si="9"/>
        <v>13325.07</v>
      </c>
      <c r="J17" s="244">
        <f t="shared" ca="1" si="9"/>
        <v>21578.399999999998</v>
      </c>
      <c r="K17" s="244">
        <f t="shared" ca="1" si="9"/>
        <v>50696.659999999996</v>
      </c>
      <c r="L17" s="244">
        <f t="shared" ca="1" si="9"/>
        <v>121745.57</v>
      </c>
      <c r="M17" s="244">
        <f t="shared" ca="1" si="9"/>
        <v>225977.29</v>
      </c>
      <c r="N17" s="244">
        <f t="shared" ca="1" si="9"/>
        <v>225977.29</v>
      </c>
      <c r="O17" s="244">
        <f t="shared" ca="1" si="9"/>
        <v>225977.29</v>
      </c>
      <c r="P17" s="123"/>
      <c r="S17" s="378"/>
      <c r="T17" s="378"/>
    </row>
    <row r="18" spans="1:20" s="18" customFormat="1">
      <c r="A18" s="44"/>
      <c r="B18" s="388">
        <f ca="1">OFFSET(QCI!B$10,(ROW(B18)-ROW(B$18))/4,0)</f>
        <v>1</v>
      </c>
      <c r="C18" s="388" t="str">
        <f ca="1">OFFSET(QCI!C$10,(ROW(C18)-ROW(C$18))/4,0)</f>
        <v>Meta</v>
      </c>
      <c r="D18" s="388" t="str">
        <f ca="1">OFFSET(QCI!D$10,(ROW(D18)-ROW(D$18))/4,0)</f>
        <v>1.</v>
      </c>
      <c r="E18" s="384" t="str">
        <f ca="1">OFFSET(QCI!G$10,(ROW(E18)-ROW(E$18))/4,0)</f>
        <v>REFORMA DO PAVILHÃO DAS ARTES</v>
      </c>
      <c r="F18" s="214" t="s">
        <v>265</v>
      </c>
      <c r="G18" s="383">
        <f ca="1">G21</f>
        <v>225977.29</v>
      </c>
      <c r="H18" s="216">
        <v>0.25</v>
      </c>
      <c r="I18" s="216">
        <v>0.15</v>
      </c>
      <c r="J18" s="216">
        <v>0.15</v>
      </c>
      <c r="K18" s="216">
        <v>0.15</v>
      </c>
      <c r="L18" s="216">
        <v>0.15</v>
      </c>
      <c r="M18" s="216">
        <v>0.15</v>
      </c>
      <c r="N18" s="216">
        <v>0</v>
      </c>
      <c r="O18" s="216">
        <v>0</v>
      </c>
      <c r="P18" s="44"/>
      <c r="Q18" s="44"/>
      <c r="R18" s="44"/>
      <c r="S18" s="376">
        <f ca="1">OFFSET(QCI!U$10,(ROW(S18)-ROW(S$18))/4,0)*4</f>
        <v>44</v>
      </c>
      <c r="T18" s="376" t="b">
        <f ca="1">OFFSET(QCI!V$10,(ROW(T18)-ROW(T$18))/4,0)</f>
        <v>0</v>
      </c>
    </row>
    <row r="19" spans="1:20" s="18" customFormat="1">
      <c r="A19" s="44"/>
      <c r="B19" s="370"/>
      <c r="C19" s="370"/>
      <c r="D19" s="370"/>
      <c r="E19" s="371"/>
      <c r="F19" s="215" t="s">
        <v>87</v>
      </c>
      <c r="G19" s="375"/>
      <c r="H19" s="217">
        <f t="shared" ref="H19:O19" ca="1" si="10">IF($T18,IF(G19&gt;=1,1,G19+ROUND(H18,4)),SUMIF(OFFSET($F19,3,0,$S18),$F21,OFFSET(H19,3,0,$S18))/$G18)</f>
        <v>4.1599047408701996E-2</v>
      </c>
      <c r="I19" s="217">
        <f t="shared" ca="1" si="10"/>
        <v>5.89664120673365E-2</v>
      </c>
      <c r="J19" s="217">
        <f t="shared" ca="1" si="10"/>
        <v>9.5489241418905399E-2</v>
      </c>
      <c r="K19" s="217">
        <f t="shared" ca="1" si="10"/>
        <v>0.22434404802358676</v>
      </c>
      <c r="L19" s="217">
        <f t="shared" ca="1" si="10"/>
        <v>0.53875134974846373</v>
      </c>
      <c r="M19" s="217">
        <f t="shared" ca="1" si="10"/>
        <v>1</v>
      </c>
      <c r="N19" s="217">
        <f t="shared" ca="1" si="10"/>
        <v>1</v>
      </c>
      <c r="O19" s="217">
        <f t="shared" ca="1" si="10"/>
        <v>1</v>
      </c>
      <c r="P19" s="44"/>
      <c r="Q19" s="44"/>
      <c r="R19" s="44"/>
      <c r="S19" s="376"/>
      <c r="T19" s="376"/>
    </row>
    <row r="20" spans="1:20" s="18" customFormat="1" hidden="1">
      <c r="A20" s="44"/>
      <c r="B20" s="209"/>
      <c r="C20" s="210"/>
      <c r="D20" s="210"/>
      <c r="E20" s="210"/>
      <c r="F20" s="211" t="str">
        <f>F16</f>
        <v>CP (R$)</v>
      </c>
      <c r="G20" s="212">
        <f ca="1">OFFSET(QCI!M$10,(ROW(G20)-ROW(G$20))/4,0)+OFFSET(QCI!N$10,(ROW(G20)-ROW(G$20))/4,0)</f>
        <v>90.390916000000004</v>
      </c>
      <c r="H20" s="206">
        <f t="shared" ref="H20:O20" ca="1" si="11">IF($T18,ROUND($G20*H19,2),0)</f>
        <v>0</v>
      </c>
      <c r="I20" s="206">
        <f t="shared" ca="1" si="11"/>
        <v>0</v>
      </c>
      <c r="J20" s="206">
        <f t="shared" ca="1" si="11"/>
        <v>0</v>
      </c>
      <c r="K20" s="206">
        <f t="shared" ca="1" si="11"/>
        <v>0</v>
      </c>
      <c r="L20" s="206">
        <f t="shared" ca="1" si="11"/>
        <v>0</v>
      </c>
      <c r="M20" s="206">
        <f t="shared" ca="1" si="11"/>
        <v>0</v>
      </c>
      <c r="N20" s="206">
        <f t="shared" ca="1" si="11"/>
        <v>0</v>
      </c>
      <c r="O20" s="206">
        <f t="shared" ca="1" si="11"/>
        <v>0</v>
      </c>
      <c r="P20" s="44"/>
      <c r="Q20" s="44"/>
      <c r="R20" s="44"/>
      <c r="S20" s="376"/>
      <c r="T20" s="376"/>
    </row>
    <row r="21" spans="1:20" s="18" customFormat="1" hidden="1">
      <c r="A21" s="44"/>
      <c r="B21" s="209"/>
      <c r="C21" s="210"/>
      <c r="D21" s="210"/>
      <c r="E21" s="210"/>
      <c r="F21" s="211" t="str">
        <f>F17</f>
        <v>Invest. (R$)</v>
      </c>
      <c r="G21" s="212">
        <f ca="1">OFFSET(QCI!O$10,(ROW(L21)-ROW(L$21))/4,0)</f>
        <v>225977.29</v>
      </c>
      <c r="H21" s="208">
        <f t="shared" ref="H21:O21" ca="1" si="12">IF($T18,ROUND($G21*H19,2),0)</f>
        <v>0</v>
      </c>
      <c r="I21" s="208">
        <f t="shared" ca="1" si="12"/>
        <v>0</v>
      </c>
      <c r="J21" s="208">
        <f t="shared" ca="1" si="12"/>
        <v>0</v>
      </c>
      <c r="K21" s="208">
        <f t="shared" ca="1" si="12"/>
        <v>0</v>
      </c>
      <c r="L21" s="208">
        <f t="shared" ca="1" si="12"/>
        <v>0</v>
      </c>
      <c r="M21" s="208">
        <f t="shared" ca="1" si="12"/>
        <v>0</v>
      </c>
      <c r="N21" s="208">
        <f t="shared" ca="1" si="12"/>
        <v>0</v>
      </c>
      <c r="O21" s="208">
        <f t="shared" ca="1" si="12"/>
        <v>0</v>
      </c>
      <c r="P21" s="44"/>
      <c r="Q21" s="44"/>
      <c r="R21" s="44"/>
      <c r="S21" s="376"/>
      <c r="T21" s="376"/>
    </row>
    <row r="22" spans="1:20" s="18" customFormat="1">
      <c r="A22" s="44"/>
      <c r="B22" s="370">
        <f ca="1">OFFSET(QCI!B$10,(ROW(B22)-ROW(B$18))/4,0)</f>
        <v>1</v>
      </c>
      <c r="C22" s="370" t="str">
        <f ca="1">OFFSET(QCI!C$10,(ROW(C22)-ROW(C$18))/4,0)</f>
        <v>Sub-Meta</v>
      </c>
      <c r="D22" s="370" t="str">
        <f ca="1">OFFSET(QCI!D$10,(ROW(D22)-ROW(D$18))/4,0)</f>
        <v>1.1</v>
      </c>
      <c r="E22" s="371" t="str">
        <f ca="1">OFFSET(QCI!G$10,(ROW(E22)-ROW(E$18))/4,0)</f>
        <v>Serviços de escritório, laboratório e campo</v>
      </c>
      <c r="F22" s="218" t="s">
        <v>265</v>
      </c>
      <c r="G22" s="375">
        <f ca="1">G25</f>
        <v>6424.8</v>
      </c>
      <c r="H22" s="219">
        <v>1</v>
      </c>
      <c r="I22" s="219">
        <v>0</v>
      </c>
      <c r="J22" s="219">
        <v>0</v>
      </c>
      <c r="K22" s="219">
        <v>0</v>
      </c>
      <c r="L22" s="219">
        <v>0</v>
      </c>
      <c r="M22" s="219">
        <v>0</v>
      </c>
      <c r="N22" s="219">
        <v>0</v>
      </c>
      <c r="O22" s="219">
        <v>0</v>
      </c>
      <c r="P22" s="44"/>
      <c r="Q22" s="44"/>
      <c r="R22" s="44"/>
      <c r="S22" s="376">
        <f ca="1">OFFSET(QCI!U$10,(ROW(S22)-ROW(S$18))/4,0)*4</f>
        <v>0</v>
      </c>
      <c r="T22" s="376" t="b">
        <f ca="1">OFFSET(QCI!V$10,(ROW(T22)-ROW(T$18))/4,0)</f>
        <v>1</v>
      </c>
    </row>
    <row r="23" spans="1:20" s="18" customFormat="1">
      <c r="A23" s="44"/>
      <c r="B23" s="370"/>
      <c r="C23" s="370"/>
      <c r="D23" s="370"/>
      <c r="E23" s="371"/>
      <c r="F23" s="215" t="s">
        <v>87</v>
      </c>
      <c r="G23" s="375"/>
      <c r="H23" s="217">
        <f t="shared" ref="H23:O23" ca="1" si="13">IF($T22,IF(G23&gt;=1,1,G23+ROUND(H22,4)),SUMIF(OFFSET($F23,3,0,$S22),$F25,OFFSET(H23,3,0,$S22))/$G22)</f>
        <v>1</v>
      </c>
      <c r="I23" s="217">
        <f t="shared" ca="1" si="13"/>
        <v>1</v>
      </c>
      <c r="J23" s="217">
        <f t="shared" ca="1" si="13"/>
        <v>1</v>
      </c>
      <c r="K23" s="217">
        <f t="shared" ca="1" si="13"/>
        <v>1</v>
      </c>
      <c r="L23" s="217">
        <f t="shared" ca="1" si="13"/>
        <v>1</v>
      </c>
      <c r="M23" s="217">
        <f t="shared" ca="1" si="13"/>
        <v>1</v>
      </c>
      <c r="N23" s="217">
        <f t="shared" ca="1" si="13"/>
        <v>1</v>
      </c>
      <c r="O23" s="217">
        <f t="shared" ca="1" si="13"/>
        <v>1</v>
      </c>
      <c r="P23" s="44"/>
      <c r="Q23" s="44"/>
      <c r="R23" s="44"/>
      <c r="S23" s="376"/>
      <c r="T23" s="376"/>
    </row>
    <row r="24" spans="1:20" s="18" customFormat="1" ht="12.75" hidden="1" customHeight="1">
      <c r="A24" s="44"/>
      <c r="B24" s="370"/>
      <c r="C24" s="370"/>
      <c r="D24" s="370"/>
      <c r="E24" s="371"/>
      <c r="F24" s="205" t="str">
        <f>F20</f>
        <v>CP (R$)</v>
      </c>
      <c r="G24" s="375">
        <f ca="1">OFFSET(QCI!M$10,(ROW(G24)-ROW(G$20))/4,0)+OFFSET(QCI!N$10,(ROW(G24)-ROW(G$20))/4,0)</f>
        <v>2.5699200000000002</v>
      </c>
      <c r="H24" s="206">
        <f t="shared" ref="H24:O24" ca="1" si="14">IF($T22,ROUND($G24*H23,2),0)</f>
        <v>2.57</v>
      </c>
      <c r="I24" s="206">
        <f t="shared" ca="1" si="14"/>
        <v>2.57</v>
      </c>
      <c r="J24" s="206">
        <f t="shared" ca="1" si="14"/>
        <v>2.57</v>
      </c>
      <c r="K24" s="206">
        <f t="shared" ca="1" si="14"/>
        <v>2.57</v>
      </c>
      <c r="L24" s="206">
        <f t="shared" ca="1" si="14"/>
        <v>2.57</v>
      </c>
      <c r="M24" s="206">
        <f t="shared" ca="1" si="14"/>
        <v>2.57</v>
      </c>
      <c r="N24" s="206">
        <f t="shared" ca="1" si="14"/>
        <v>2.57</v>
      </c>
      <c r="O24" s="206">
        <f t="shared" ca="1" si="14"/>
        <v>2.57</v>
      </c>
      <c r="P24" s="44"/>
      <c r="Q24" s="44"/>
      <c r="R24" s="44"/>
      <c r="S24" s="376"/>
      <c r="T24" s="376"/>
    </row>
    <row r="25" spans="1:20" s="18" customFormat="1" ht="12.75" hidden="1" customHeight="1">
      <c r="A25" s="44"/>
      <c r="B25" s="370"/>
      <c r="C25" s="370"/>
      <c r="D25" s="370"/>
      <c r="E25" s="371"/>
      <c r="F25" s="207" t="str">
        <f>F21</f>
        <v>Invest. (R$)</v>
      </c>
      <c r="G25" s="375">
        <f ca="1">OFFSET(QCI!O$10,(ROW(L25)-ROW(L$21))/4,0)</f>
        <v>6424.8</v>
      </c>
      <c r="H25" s="208">
        <f t="shared" ref="H25:O25" ca="1" si="15">IF($T22,ROUND($G25*H23,2),0)</f>
        <v>6424.8</v>
      </c>
      <c r="I25" s="208">
        <f t="shared" ca="1" si="15"/>
        <v>6424.8</v>
      </c>
      <c r="J25" s="208">
        <f t="shared" ca="1" si="15"/>
        <v>6424.8</v>
      </c>
      <c r="K25" s="208">
        <f t="shared" ca="1" si="15"/>
        <v>6424.8</v>
      </c>
      <c r="L25" s="208">
        <f t="shared" ca="1" si="15"/>
        <v>6424.8</v>
      </c>
      <c r="M25" s="208">
        <f t="shared" ca="1" si="15"/>
        <v>6424.8</v>
      </c>
      <c r="N25" s="208">
        <f t="shared" ca="1" si="15"/>
        <v>6424.8</v>
      </c>
      <c r="O25" s="208">
        <f t="shared" ca="1" si="15"/>
        <v>6424.8</v>
      </c>
      <c r="P25" s="44"/>
      <c r="Q25" s="44"/>
      <c r="R25" s="44"/>
      <c r="S25" s="376"/>
      <c r="T25" s="376"/>
    </row>
    <row r="26" spans="1:20" s="18" customFormat="1">
      <c r="A26" s="44"/>
      <c r="B26" s="370">
        <f ca="1">OFFSET(QCI!B$10,(ROW(B26)-ROW(B$18))/4,0)</f>
        <v>1</v>
      </c>
      <c r="C26" s="370" t="str">
        <f ca="1">OFFSET(QCI!C$10,(ROW(C26)-ROW(C$18))/4,0)</f>
        <v>Sub-Meta</v>
      </c>
      <c r="D26" s="370" t="str">
        <f ca="1">OFFSET(QCI!D$10,(ROW(D26)-ROW(D$18))/4,0)</f>
        <v>1.2</v>
      </c>
      <c r="E26" s="371" t="str">
        <f ca="1">OFFSET(QCI!G$10,(ROW(E26)-ROW(E$18))/4,0)</f>
        <v>Demolições</v>
      </c>
      <c r="F26" s="218" t="s">
        <v>265</v>
      </c>
      <c r="G26" s="375">
        <f ca="1">G29</f>
        <v>4250.91</v>
      </c>
      <c r="H26" s="219">
        <v>0.7</v>
      </c>
      <c r="I26" s="219">
        <v>0.3</v>
      </c>
      <c r="J26" s="219">
        <v>0</v>
      </c>
      <c r="K26" s="219">
        <v>0</v>
      </c>
      <c r="L26" s="219">
        <v>0</v>
      </c>
      <c r="M26" s="219">
        <v>0</v>
      </c>
      <c r="N26" s="219">
        <v>0</v>
      </c>
      <c r="O26" s="219">
        <v>0</v>
      </c>
      <c r="P26" s="44"/>
      <c r="Q26" s="44"/>
      <c r="R26" s="44"/>
      <c r="S26" s="376">
        <f ca="1">OFFSET(QCI!U$10,(ROW(S26)-ROW(S$18))/4,0)*4</f>
        <v>0</v>
      </c>
      <c r="T26" s="376" t="b">
        <f ca="1">OFFSET(QCI!V$10,(ROW(T26)-ROW(T$18))/4,0)</f>
        <v>1</v>
      </c>
    </row>
    <row r="27" spans="1:20" s="18" customFormat="1">
      <c r="A27" s="44"/>
      <c r="B27" s="370"/>
      <c r="C27" s="370"/>
      <c r="D27" s="370"/>
      <c r="E27" s="371"/>
      <c r="F27" s="215" t="s">
        <v>87</v>
      </c>
      <c r="G27" s="375"/>
      <c r="H27" s="217">
        <f t="shared" ref="H27:O27" ca="1" si="16">IF($T26,IF(G27&gt;=1,1,G27+ROUND(H26,4)),SUMIF(OFFSET($F27,3,0,$S26),$F29,OFFSET(H27,3,0,$S26))/$G26)</f>
        <v>0.7</v>
      </c>
      <c r="I27" s="217">
        <f t="shared" ca="1" si="16"/>
        <v>1</v>
      </c>
      <c r="J27" s="217">
        <f t="shared" ca="1" si="16"/>
        <v>1</v>
      </c>
      <c r="K27" s="217">
        <f t="shared" ca="1" si="16"/>
        <v>1</v>
      </c>
      <c r="L27" s="217">
        <f t="shared" ca="1" si="16"/>
        <v>1</v>
      </c>
      <c r="M27" s="217">
        <f t="shared" ca="1" si="16"/>
        <v>1</v>
      </c>
      <c r="N27" s="217">
        <f t="shared" ca="1" si="16"/>
        <v>1</v>
      </c>
      <c r="O27" s="217">
        <f t="shared" ca="1" si="16"/>
        <v>1</v>
      </c>
      <c r="P27" s="44"/>
      <c r="Q27" s="44"/>
      <c r="R27" s="44"/>
      <c r="S27" s="376"/>
      <c r="T27" s="376"/>
    </row>
    <row r="28" spans="1:20" s="18" customFormat="1" ht="12.75" hidden="1" customHeight="1">
      <c r="A28" s="44"/>
      <c r="B28" s="370"/>
      <c r="C28" s="370"/>
      <c r="D28" s="370"/>
      <c r="E28" s="371"/>
      <c r="F28" s="218" t="str">
        <f>F24</f>
        <v>CP (R$)</v>
      </c>
      <c r="G28" s="375">
        <f ca="1">OFFSET(QCI!M$10,(ROW(G28)-ROW(G$20))/4,0)+OFFSET(QCI!N$10,(ROW(G28)-ROW(G$20))/4,0)</f>
        <v>1.700364</v>
      </c>
      <c r="H28" s="219">
        <f t="shared" ref="H28:O28" ca="1" si="17">IF($T26,ROUND($G28*H27,2),0)</f>
        <v>1.19</v>
      </c>
      <c r="I28" s="219">
        <f t="shared" ca="1" si="17"/>
        <v>1.7</v>
      </c>
      <c r="J28" s="219">
        <f t="shared" ca="1" si="17"/>
        <v>1.7</v>
      </c>
      <c r="K28" s="219">
        <f t="shared" ca="1" si="17"/>
        <v>1.7</v>
      </c>
      <c r="L28" s="219">
        <f t="shared" ca="1" si="17"/>
        <v>1.7</v>
      </c>
      <c r="M28" s="219">
        <f t="shared" ca="1" si="17"/>
        <v>1.7</v>
      </c>
      <c r="N28" s="219">
        <f t="shared" ca="1" si="17"/>
        <v>1.7</v>
      </c>
      <c r="O28" s="219">
        <f t="shared" ca="1" si="17"/>
        <v>1.7</v>
      </c>
      <c r="P28" s="44"/>
      <c r="Q28" s="44"/>
      <c r="R28" s="44"/>
      <c r="S28" s="376"/>
      <c r="T28" s="376"/>
    </row>
    <row r="29" spans="1:20" s="18" customFormat="1" ht="12.75" hidden="1" customHeight="1">
      <c r="A29" s="44"/>
      <c r="B29" s="370"/>
      <c r="C29" s="370"/>
      <c r="D29" s="370"/>
      <c r="E29" s="371"/>
      <c r="F29" s="215" t="str">
        <f>F25</f>
        <v>Invest. (R$)</v>
      </c>
      <c r="G29" s="375">
        <f ca="1">OFFSET(QCI!O$10,(ROW(L29)-ROW(L$21))/4,0)</f>
        <v>4250.91</v>
      </c>
      <c r="H29" s="217">
        <f t="shared" ref="H29:O29" ca="1" si="18">IF($T26,ROUND($G29*H27,2),0)</f>
        <v>2975.64</v>
      </c>
      <c r="I29" s="217">
        <f t="shared" ca="1" si="18"/>
        <v>4250.91</v>
      </c>
      <c r="J29" s="217">
        <f t="shared" ca="1" si="18"/>
        <v>4250.91</v>
      </c>
      <c r="K29" s="217">
        <f t="shared" ca="1" si="18"/>
        <v>4250.91</v>
      </c>
      <c r="L29" s="217">
        <f t="shared" ca="1" si="18"/>
        <v>4250.91</v>
      </c>
      <c r="M29" s="217">
        <f t="shared" ca="1" si="18"/>
        <v>4250.91</v>
      </c>
      <c r="N29" s="217">
        <f t="shared" ca="1" si="18"/>
        <v>4250.91</v>
      </c>
      <c r="O29" s="217">
        <f t="shared" ca="1" si="18"/>
        <v>4250.91</v>
      </c>
      <c r="P29" s="44"/>
      <c r="Q29" s="44"/>
      <c r="R29" s="44"/>
      <c r="S29" s="376"/>
      <c r="T29" s="376"/>
    </row>
    <row r="30" spans="1:20" s="18" customFormat="1">
      <c r="A30" s="44"/>
      <c r="B30" s="370">
        <f ca="1">OFFSET(QCI!B$10,(ROW(B30)-ROW(B$18))/4,0)</f>
        <v>1</v>
      </c>
      <c r="C30" s="370" t="str">
        <f ca="1">OFFSET(QCI!C$10,(ROW(C30)-ROW(C$18))/4,0)</f>
        <v>Sub-Meta</v>
      </c>
      <c r="D30" s="370" t="str">
        <f ca="1">OFFSET(QCI!D$10,(ROW(D30)-ROW(D$18))/4,0)</f>
        <v>1.3</v>
      </c>
      <c r="E30" s="371" t="str">
        <f ca="1">OFFSET(QCI!G$10,(ROW(E30)-ROW(E$18))/4,0)</f>
        <v>Movimento de Terra</v>
      </c>
      <c r="F30" s="218" t="s">
        <v>265</v>
      </c>
      <c r="G30" s="375">
        <f ca="1">G33</f>
        <v>0</v>
      </c>
      <c r="H30" s="219">
        <v>0</v>
      </c>
      <c r="I30" s="219">
        <v>0.3</v>
      </c>
      <c r="J30" s="219">
        <v>0.3</v>
      </c>
      <c r="K30" s="219">
        <v>0.2</v>
      </c>
      <c r="L30" s="219">
        <v>0.2</v>
      </c>
      <c r="M30" s="219">
        <v>0</v>
      </c>
      <c r="N30" s="219">
        <v>0</v>
      </c>
      <c r="O30" s="219">
        <v>0</v>
      </c>
      <c r="P30" s="44"/>
      <c r="Q30" s="44"/>
      <c r="R30" s="44"/>
      <c r="S30" s="376">
        <f ca="1">OFFSET(QCI!U$10,(ROW(S30)-ROW(S$18))/4,0)*4</f>
        <v>0</v>
      </c>
      <c r="T30" s="376" t="b">
        <f ca="1">OFFSET(QCI!V$10,(ROW(T30)-ROW(T$18))/4,0)</f>
        <v>1</v>
      </c>
    </row>
    <row r="31" spans="1:20" s="18" customFormat="1">
      <c r="A31" s="44"/>
      <c r="B31" s="370"/>
      <c r="C31" s="370"/>
      <c r="D31" s="370"/>
      <c r="E31" s="371"/>
      <c r="F31" s="215" t="s">
        <v>87</v>
      </c>
      <c r="G31" s="375"/>
      <c r="H31" s="217">
        <f t="shared" ref="H31:O31" ca="1" si="19">IF($T30,IF(G31&gt;=1,1,G31+ROUND(H30,4)),SUMIF(OFFSET($F31,3,0,$S30),$F33,OFFSET(H31,3,0,$S30))/$G30)</f>
        <v>0</v>
      </c>
      <c r="I31" s="217">
        <f t="shared" ca="1" si="19"/>
        <v>0.3</v>
      </c>
      <c r="J31" s="217">
        <f t="shared" ca="1" si="19"/>
        <v>0.6</v>
      </c>
      <c r="K31" s="217">
        <f t="shared" ca="1" si="19"/>
        <v>0.8</v>
      </c>
      <c r="L31" s="217">
        <f t="shared" ca="1" si="19"/>
        <v>1</v>
      </c>
      <c r="M31" s="217">
        <f t="shared" ca="1" si="19"/>
        <v>1</v>
      </c>
      <c r="N31" s="217">
        <f t="shared" ca="1" si="19"/>
        <v>1</v>
      </c>
      <c r="O31" s="217">
        <f t="shared" ca="1" si="19"/>
        <v>1</v>
      </c>
      <c r="P31" s="44"/>
      <c r="Q31" s="44"/>
      <c r="R31" s="44"/>
      <c r="S31" s="376"/>
      <c r="T31" s="376"/>
    </row>
    <row r="32" spans="1:20" s="18" customFormat="1" ht="12.75" hidden="1" customHeight="1">
      <c r="A32" s="44"/>
      <c r="B32" s="370"/>
      <c r="C32" s="370"/>
      <c r="D32" s="370"/>
      <c r="E32" s="371"/>
      <c r="F32" s="218" t="str">
        <f>F28</f>
        <v>CP (R$)</v>
      </c>
      <c r="G32" s="375">
        <f ca="1">OFFSET(QCI!M$10,(ROW(G32)-ROW(G$20))/4,0)+OFFSET(QCI!N$10,(ROW(G32)-ROW(G$20))/4,0)</f>
        <v>0</v>
      </c>
      <c r="H32" s="219">
        <f t="shared" ref="H32:O32" ca="1" si="20">IF($T30,ROUND($G32*H31,2),0)</f>
        <v>0</v>
      </c>
      <c r="I32" s="219">
        <f t="shared" ca="1" si="20"/>
        <v>0</v>
      </c>
      <c r="J32" s="219">
        <f t="shared" ca="1" si="20"/>
        <v>0</v>
      </c>
      <c r="K32" s="219">
        <f t="shared" ca="1" si="20"/>
        <v>0</v>
      </c>
      <c r="L32" s="219">
        <f t="shared" ca="1" si="20"/>
        <v>0</v>
      </c>
      <c r="M32" s="219">
        <f t="shared" ca="1" si="20"/>
        <v>0</v>
      </c>
      <c r="N32" s="219">
        <f t="shared" ca="1" si="20"/>
        <v>0</v>
      </c>
      <c r="O32" s="219">
        <f t="shared" ca="1" si="20"/>
        <v>0</v>
      </c>
      <c r="P32" s="44"/>
      <c r="Q32" s="44"/>
      <c r="R32" s="44"/>
      <c r="S32" s="376"/>
      <c r="T32" s="376"/>
    </row>
    <row r="33" spans="1:20" s="18" customFormat="1" ht="12.75" hidden="1" customHeight="1">
      <c r="A33" s="44"/>
      <c r="B33" s="370"/>
      <c r="C33" s="370"/>
      <c r="D33" s="370"/>
      <c r="E33" s="371"/>
      <c r="F33" s="215" t="str">
        <f>F29</f>
        <v>Invest. (R$)</v>
      </c>
      <c r="G33" s="375">
        <f ca="1">OFFSET(QCI!O$10,(ROW(L33)-ROW(L$21))/4,0)</f>
        <v>0</v>
      </c>
      <c r="H33" s="217">
        <f t="shared" ref="H33:O33" ca="1" si="21">IF($T30,ROUND($G33*H31,2),0)</f>
        <v>0</v>
      </c>
      <c r="I33" s="217">
        <f t="shared" ca="1" si="21"/>
        <v>0</v>
      </c>
      <c r="J33" s="217">
        <f t="shared" ca="1" si="21"/>
        <v>0</v>
      </c>
      <c r="K33" s="217">
        <f t="shared" ca="1" si="21"/>
        <v>0</v>
      </c>
      <c r="L33" s="217">
        <f t="shared" ca="1" si="21"/>
        <v>0</v>
      </c>
      <c r="M33" s="217">
        <f t="shared" ca="1" si="21"/>
        <v>0</v>
      </c>
      <c r="N33" s="217">
        <f t="shared" ca="1" si="21"/>
        <v>0</v>
      </c>
      <c r="O33" s="217">
        <f t="shared" ca="1" si="21"/>
        <v>0</v>
      </c>
      <c r="P33" s="44"/>
      <c r="Q33" s="44"/>
      <c r="R33" s="44"/>
      <c r="S33" s="376"/>
      <c r="T33" s="376"/>
    </row>
    <row r="34" spans="1:20" s="18" customFormat="1">
      <c r="A34" s="44"/>
      <c r="B34" s="370">
        <f ca="1">OFFSET(QCI!B$10,(ROW(B34)-ROW(B$18))/4,0)</f>
        <v>1</v>
      </c>
      <c r="C34" s="370" t="str">
        <f ca="1">OFFSET(QCI!C$10,(ROW(C34)-ROW(C$18))/4,0)</f>
        <v>Sub-Meta</v>
      </c>
      <c r="D34" s="370" t="str">
        <f ca="1">OFFSET(QCI!D$10,(ROW(D34)-ROW(D$18))/4,0)</f>
        <v>1.4</v>
      </c>
      <c r="E34" s="371" t="str">
        <f ca="1">OFFSET(QCI!G$10,(ROW(E34)-ROW(E$18))/4,0)</f>
        <v>Estrutura</v>
      </c>
      <c r="F34" s="218" t="s">
        <v>265</v>
      </c>
      <c r="G34" s="375">
        <f ca="1">G37</f>
        <v>0</v>
      </c>
      <c r="H34" s="219">
        <v>0</v>
      </c>
      <c r="I34" s="219">
        <v>0</v>
      </c>
      <c r="J34" s="219">
        <v>0.25</v>
      </c>
      <c r="K34" s="219">
        <v>0.25</v>
      </c>
      <c r="L34" s="219">
        <v>0.25</v>
      </c>
      <c r="M34" s="219">
        <v>0.25</v>
      </c>
      <c r="N34" s="219">
        <v>0</v>
      </c>
      <c r="O34" s="219">
        <v>0</v>
      </c>
      <c r="P34" s="44"/>
      <c r="Q34" s="44"/>
      <c r="R34" s="44"/>
      <c r="S34" s="376">
        <f ca="1">OFFSET(QCI!U$10,(ROW(S34)-ROW(S$18))/4,0)*4</f>
        <v>0</v>
      </c>
      <c r="T34" s="376" t="b">
        <f ca="1">OFFSET(QCI!V$10,(ROW(T34)-ROW(T$18))/4,0)</f>
        <v>1</v>
      </c>
    </row>
    <row r="35" spans="1:20" s="18" customFormat="1">
      <c r="A35" s="44"/>
      <c r="B35" s="370"/>
      <c r="C35" s="370"/>
      <c r="D35" s="370"/>
      <c r="E35" s="371"/>
      <c r="F35" s="215" t="s">
        <v>87</v>
      </c>
      <c r="G35" s="375"/>
      <c r="H35" s="217">
        <f t="shared" ref="H35:O35" ca="1" si="22">IF($T34,IF(G35&gt;=1,1,G35+ROUND(H34,4)),SUMIF(OFFSET($F35,3,0,$S34),$F37,OFFSET(H35,3,0,$S34))/$G34)</f>
        <v>0</v>
      </c>
      <c r="I35" s="217">
        <f t="shared" ca="1" si="22"/>
        <v>0</v>
      </c>
      <c r="J35" s="217">
        <f t="shared" ca="1" si="22"/>
        <v>0.25</v>
      </c>
      <c r="K35" s="217">
        <f t="shared" ca="1" si="22"/>
        <v>0.5</v>
      </c>
      <c r="L35" s="217">
        <f t="shared" ca="1" si="22"/>
        <v>0.75</v>
      </c>
      <c r="M35" s="217">
        <f t="shared" ca="1" si="22"/>
        <v>1</v>
      </c>
      <c r="N35" s="217">
        <f t="shared" ca="1" si="22"/>
        <v>1</v>
      </c>
      <c r="O35" s="217">
        <f t="shared" ca="1" si="22"/>
        <v>1</v>
      </c>
      <c r="P35" s="44"/>
      <c r="Q35" s="44"/>
      <c r="R35" s="44"/>
      <c r="S35" s="376"/>
      <c r="T35" s="376"/>
    </row>
    <row r="36" spans="1:20" s="18" customFormat="1" ht="12.75" hidden="1" customHeight="1">
      <c r="A36" s="44"/>
      <c r="B36" s="370"/>
      <c r="C36" s="370"/>
      <c r="D36" s="370"/>
      <c r="E36" s="371"/>
      <c r="F36" s="218" t="str">
        <f>F32</f>
        <v>CP (R$)</v>
      </c>
      <c r="G36" s="375">
        <f ca="1">OFFSET(QCI!M$10,(ROW(G36)-ROW(G$20))/4,0)+OFFSET(QCI!N$10,(ROW(G36)-ROW(G$20))/4,0)</f>
        <v>0</v>
      </c>
      <c r="H36" s="219">
        <f t="shared" ref="H36:O36" ca="1" si="23">IF($T34,ROUND($G36*H35,2),0)</f>
        <v>0</v>
      </c>
      <c r="I36" s="219">
        <f t="shared" ca="1" si="23"/>
        <v>0</v>
      </c>
      <c r="J36" s="219">
        <f t="shared" ca="1" si="23"/>
        <v>0</v>
      </c>
      <c r="K36" s="219">
        <f t="shared" ca="1" si="23"/>
        <v>0</v>
      </c>
      <c r="L36" s="219">
        <f t="shared" ca="1" si="23"/>
        <v>0</v>
      </c>
      <c r="M36" s="219">
        <f t="shared" ca="1" si="23"/>
        <v>0</v>
      </c>
      <c r="N36" s="219">
        <f t="shared" ca="1" si="23"/>
        <v>0</v>
      </c>
      <c r="O36" s="219">
        <f t="shared" ca="1" si="23"/>
        <v>0</v>
      </c>
      <c r="P36" s="44"/>
      <c r="Q36" s="44"/>
      <c r="R36" s="44"/>
      <c r="S36" s="376"/>
      <c r="T36" s="376"/>
    </row>
    <row r="37" spans="1:20" s="18" customFormat="1" ht="12.75" hidden="1" customHeight="1">
      <c r="A37" s="44"/>
      <c r="B37" s="370"/>
      <c r="C37" s="370"/>
      <c r="D37" s="370"/>
      <c r="E37" s="371"/>
      <c r="F37" s="215" t="str">
        <f>F33</f>
        <v>Invest. (R$)</v>
      </c>
      <c r="G37" s="375">
        <f ca="1">OFFSET(QCI!O$10,(ROW(L37)-ROW(L$21))/4,0)</f>
        <v>0</v>
      </c>
      <c r="H37" s="217">
        <f t="shared" ref="H37:O37" ca="1" si="24">IF($T34,ROUND($G37*H35,2),0)</f>
        <v>0</v>
      </c>
      <c r="I37" s="217">
        <f t="shared" ca="1" si="24"/>
        <v>0</v>
      </c>
      <c r="J37" s="217">
        <f t="shared" ca="1" si="24"/>
        <v>0</v>
      </c>
      <c r="K37" s="217">
        <f t="shared" ca="1" si="24"/>
        <v>0</v>
      </c>
      <c r="L37" s="217">
        <f t="shared" ca="1" si="24"/>
        <v>0</v>
      </c>
      <c r="M37" s="217">
        <f t="shared" ca="1" si="24"/>
        <v>0</v>
      </c>
      <c r="N37" s="217">
        <f t="shared" ca="1" si="24"/>
        <v>0</v>
      </c>
      <c r="O37" s="217">
        <f t="shared" ca="1" si="24"/>
        <v>0</v>
      </c>
      <c r="P37" s="44"/>
      <c r="Q37" s="44"/>
      <c r="R37" s="44"/>
      <c r="S37" s="376"/>
      <c r="T37" s="376"/>
    </row>
    <row r="38" spans="1:20" s="18" customFormat="1">
      <c r="A38" s="44"/>
      <c r="B38" s="370">
        <f ca="1">OFFSET(QCI!B$10,(ROW(B38)-ROW(B$18))/4,0)</f>
        <v>1</v>
      </c>
      <c r="C38" s="370" t="str">
        <f ca="1">OFFSET(QCI!C$10,(ROW(C38)-ROW(C$18))/4,0)</f>
        <v>Sub-Meta</v>
      </c>
      <c r="D38" s="370" t="str">
        <f ca="1">OFFSET(QCI!D$10,(ROW(D38)-ROW(D$18))/4,0)</f>
        <v>1.5</v>
      </c>
      <c r="E38" s="371" t="str">
        <f ca="1">OFFSET(QCI!G$10,(ROW(E38)-ROW(E$18))/4,0)</f>
        <v>Alvenaria / Revestimento / Pavimentação</v>
      </c>
      <c r="F38" s="218" t="s">
        <v>265</v>
      </c>
      <c r="G38" s="375">
        <f ca="1">G41</f>
        <v>77831.02</v>
      </c>
      <c r="H38" s="219">
        <v>0</v>
      </c>
      <c r="I38" s="219">
        <v>0</v>
      </c>
      <c r="J38" s="219">
        <v>0</v>
      </c>
      <c r="K38" s="219">
        <v>0.2</v>
      </c>
      <c r="L38" s="219">
        <v>0.4</v>
      </c>
      <c r="M38" s="219">
        <v>0.4</v>
      </c>
      <c r="N38" s="219">
        <v>0</v>
      </c>
      <c r="O38" s="219">
        <v>0</v>
      </c>
      <c r="P38" s="44"/>
      <c r="Q38" s="44"/>
      <c r="R38" s="44"/>
      <c r="S38" s="376">
        <f ca="1">OFFSET(QCI!U$10,(ROW(S38)-ROW(S$18))/4,0)*4</f>
        <v>0</v>
      </c>
      <c r="T38" s="376" t="b">
        <f ca="1">OFFSET(QCI!V$10,(ROW(T38)-ROW(T$18))/4,0)</f>
        <v>1</v>
      </c>
    </row>
    <row r="39" spans="1:20" s="18" customFormat="1">
      <c r="A39" s="44"/>
      <c r="B39" s="370"/>
      <c r="C39" s="370"/>
      <c r="D39" s="370"/>
      <c r="E39" s="371"/>
      <c r="F39" s="215" t="s">
        <v>87</v>
      </c>
      <c r="G39" s="375"/>
      <c r="H39" s="217">
        <f t="shared" ref="H39:O39" ca="1" si="25">IF($T38,IF(G39&gt;=1,1,G39+ROUND(H38,4)),SUMIF(OFFSET($F39,3,0,$S38),$F41,OFFSET(H39,3,0,$S38))/$G38)</f>
        <v>0</v>
      </c>
      <c r="I39" s="217">
        <f t="shared" ca="1" si="25"/>
        <v>0</v>
      </c>
      <c r="J39" s="217">
        <f t="shared" ca="1" si="25"/>
        <v>0</v>
      </c>
      <c r="K39" s="217">
        <f t="shared" ca="1" si="25"/>
        <v>0.2</v>
      </c>
      <c r="L39" s="217">
        <f t="shared" ca="1" si="25"/>
        <v>0.60000000000000009</v>
      </c>
      <c r="M39" s="217">
        <f t="shared" ca="1" si="25"/>
        <v>1</v>
      </c>
      <c r="N39" s="217">
        <f t="shared" ca="1" si="25"/>
        <v>1</v>
      </c>
      <c r="O39" s="217">
        <f t="shared" ca="1" si="25"/>
        <v>1</v>
      </c>
      <c r="P39" s="44"/>
      <c r="Q39" s="44"/>
      <c r="R39" s="44"/>
      <c r="S39" s="376"/>
      <c r="T39" s="376"/>
    </row>
    <row r="40" spans="1:20" s="18" customFormat="1" ht="12.75" hidden="1" customHeight="1">
      <c r="A40" s="44"/>
      <c r="B40" s="370"/>
      <c r="C40" s="370"/>
      <c r="D40" s="370"/>
      <c r="E40" s="371"/>
      <c r="F40" s="218" t="str">
        <f>F36</f>
        <v>CP (R$)</v>
      </c>
      <c r="G40" s="375">
        <f ca="1">OFFSET(QCI!M$10,(ROW(G40)-ROW(G$20))/4,0)+OFFSET(QCI!N$10,(ROW(G40)-ROW(G$20))/4,0)</f>
        <v>31.132408000000002</v>
      </c>
      <c r="H40" s="219">
        <f t="shared" ref="H40:O40" ca="1" si="26">IF($T38,ROUND($G40*H39,2),0)</f>
        <v>0</v>
      </c>
      <c r="I40" s="219">
        <f t="shared" ca="1" si="26"/>
        <v>0</v>
      </c>
      <c r="J40" s="219">
        <f t="shared" ca="1" si="26"/>
        <v>0</v>
      </c>
      <c r="K40" s="219">
        <f t="shared" ca="1" si="26"/>
        <v>6.23</v>
      </c>
      <c r="L40" s="219">
        <f t="shared" ca="1" si="26"/>
        <v>18.68</v>
      </c>
      <c r="M40" s="219">
        <f t="shared" ca="1" si="26"/>
        <v>31.13</v>
      </c>
      <c r="N40" s="219">
        <f t="shared" ca="1" si="26"/>
        <v>31.13</v>
      </c>
      <c r="O40" s="219">
        <f t="shared" ca="1" si="26"/>
        <v>31.13</v>
      </c>
      <c r="P40" s="44"/>
      <c r="Q40" s="44"/>
      <c r="R40" s="44"/>
      <c r="S40" s="376"/>
      <c r="T40" s="376"/>
    </row>
    <row r="41" spans="1:20" s="18" customFormat="1" ht="12.75" hidden="1" customHeight="1">
      <c r="A41" s="44"/>
      <c r="B41" s="370"/>
      <c r="C41" s="370"/>
      <c r="D41" s="370"/>
      <c r="E41" s="371"/>
      <c r="F41" s="215" t="str">
        <f>F37</f>
        <v>Invest. (R$)</v>
      </c>
      <c r="G41" s="375">
        <f ca="1">OFFSET(QCI!O$10,(ROW(L41)-ROW(L$21))/4,0)</f>
        <v>77831.02</v>
      </c>
      <c r="H41" s="217">
        <f t="shared" ref="H41:O41" ca="1" si="27">IF($T38,ROUND($G41*H39,2),0)</f>
        <v>0</v>
      </c>
      <c r="I41" s="217">
        <f t="shared" ca="1" si="27"/>
        <v>0</v>
      </c>
      <c r="J41" s="217">
        <f t="shared" ca="1" si="27"/>
        <v>0</v>
      </c>
      <c r="K41" s="217">
        <f t="shared" ca="1" si="27"/>
        <v>15566.2</v>
      </c>
      <c r="L41" s="217">
        <f t="shared" ca="1" si="27"/>
        <v>46698.61</v>
      </c>
      <c r="M41" s="217">
        <f t="shared" ca="1" si="27"/>
        <v>77831.02</v>
      </c>
      <c r="N41" s="217">
        <f t="shared" ca="1" si="27"/>
        <v>77831.02</v>
      </c>
      <c r="O41" s="217">
        <f t="shared" ca="1" si="27"/>
        <v>77831.02</v>
      </c>
      <c r="P41" s="44"/>
      <c r="Q41" s="44"/>
      <c r="R41" s="44"/>
      <c r="S41" s="376"/>
      <c r="T41" s="376"/>
    </row>
    <row r="42" spans="1:20" s="18" customFormat="1">
      <c r="A42" s="44"/>
      <c r="B42" s="370">
        <f ca="1">OFFSET(QCI!B$10,(ROW(B42)-ROW(B$18))/4,0)</f>
        <v>1</v>
      </c>
      <c r="C42" s="370" t="str">
        <f ca="1">OFFSET(QCI!C$10,(ROW(C42)-ROW(C$18))/4,0)</f>
        <v>Sub-Meta</v>
      </c>
      <c r="D42" s="370" t="str">
        <f ca="1">OFFSET(QCI!D$10,(ROW(D42)-ROW(D$18))/4,0)</f>
        <v>1.6</v>
      </c>
      <c r="E42" s="371" t="str">
        <f ca="1">OFFSET(QCI!G$10,(ROW(E42)-ROW(E$18))/4,0)</f>
        <v>Cobertura</v>
      </c>
      <c r="F42" s="218" t="s">
        <v>265</v>
      </c>
      <c r="G42" s="375">
        <f ca="1">G45</f>
        <v>0</v>
      </c>
      <c r="H42" s="219">
        <v>0</v>
      </c>
      <c r="I42" s="219">
        <v>0.6</v>
      </c>
      <c r="J42" s="219">
        <v>0.4</v>
      </c>
      <c r="K42" s="219">
        <v>0</v>
      </c>
      <c r="L42" s="219">
        <v>0</v>
      </c>
      <c r="M42" s="219">
        <v>0</v>
      </c>
      <c r="N42" s="219">
        <v>0</v>
      </c>
      <c r="O42" s="219">
        <v>0</v>
      </c>
      <c r="P42" s="44"/>
      <c r="Q42" s="44"/>
      <c r="R42" s="44"/>
      <c r="S42" s="376">
        <f ca="1">OFFSET(QCI!U$10,(ROW(S42)-ROW(S$18))/4,0)*4</f>
        <v>0</v>
      </c>
      <c r="T42" s="376" t="b">
        <f ca="1">OFFSET(QCI!V$10,(ROW(T42)-ROW(T$18))/4,0)</f>
        <v>1</v>
      </c>
    </row>
    <row r="43" spans="1:20" s="18" customFormat="1">
      <c r="A43" s="44"/>
      <c r="B43" s="370"/>
      <c r="C43" s="370"/>
      <c r="D43" s="370"/>
      <c r="E43" s="371"/>
      <c r="F43" s="215" t="s">
        <v>87</v>
      </c>
      <c r="G43" s="375"/>
      <c r="H43" s="217">
        <f t="shared" ref="H43:O43" ca="1" si="28">IF($T42,IF(G43&gt;=1,1,G43+ROUND(H42,4)),SUMIF(OFFSET($F43,3,0,$S42),$F45,OFFSET(H43,3,0,$S42))/$G42)</f>
        <v>0</v>
      </c>
      <c r="I43" s="217">
        <f t="shared" ca="1" si="28"/>
        <v>0.6</v>
      </c>
      <c r="J43" s="217">
        <f t="shared" ca="1" si="28"/>
        <v>1</v>
      </c>
      <c r="K43" s="217">
        <f t="shared" ca="1" si="28"/>
        <v>1</v>
      </c>
      <c r="L43" s="217">
        <f t="shared" ca="1" si="28"/>
        <v>1</v>
      </c>
      <c r="M43" s="217">
        <f t="shared" ca="1" si="28"/>
        <v>1</v>
      </c>
      <c r="N43" s="217">
        <f t="shared" ca="1" si="28"/>
        <v>1</v>
      </c>
      <c r="O43" s="217">
        <f t="shared" ca="1" si="28"/>
        <v>1</v>
      </c>
      <c r="P43" s="44"/>
      <c r="Q43" s="44"/>
      <c r="R43" s="44"/>
      <c r="S43" s="376"/>
      <c r="T43" s="376"/>
    </row>
    <row r="44" spans="1:20" s="18" customFormat="1" ht="12.75" hidden="1" customHeight="1">
      <c r="A44" s="44"/>
      <c r="B44" s="370"/>
      <c r="C44" s="370"/>
      <c r="D44" s="370"/>
      <c r="E44" s="371"/>
      <c r="F44" s="218" t="str">
        <f>F40</f>
        <v>CP (R$)</v>
      </c>
      <c r="G44" s="375">
        <f ca="1">OFFSET(QCI!M$10,(ROW(G44)-ROW(G$20))/4,0)+OFFSET(QCI!N$10,(ROW(G44)-ROW(G$20))/4,0)</f>
        <v>0</v>
      </c>
      <c r="H44" s="219">
        <f t="shared" ref="H44:O44" ca="1" si="29">IF($T42,ROUND($G44*H43,2),0)</f>
        <v>0</v>
      </c>
      <c r="I44" s="219">
        <f t="shared" ca="1" si="29"/>
        <v>0</v>
      </c>
      <c r="J44" s="219">
        <f t="shared" ca="1" si="29"/>
        <v>0</v>
      </c>
      <c r="K44" s="219">
        <f t="shared" ca="1" si="29"/>
        <v>0</v>
      </c>
      <c r="L44" s="219">
        <f t="shared" ca="1" si="29"/>
        <v>0</v>
      </c>
      <c r="M44" s="219">
        <f t="shared" ca="1" si="29"/>
        <v>0</v>
      </c>
      <c r="N44" s="219">
        <f t="shared" ca="1" si="29"/>
        <v>0</v>
      </c>
      <c r="O44" s="219">
        <f t="shared" ca="1" si="29"/>
        <v>0</v>
      </c>
      <c r="P44" s="44"/>
      <c r="Q44" s="44"/>
      <c r="R44" s="44"/>
      <c r="S44" s="376"/>
      <c r="T44" s="376"/>
    </row>
    <row r="45" spans="1:20" s="18" customFormat="1" ht="12.75" hidden="1" customHeight="1">
      <c r="A45" s="44"/>
      <c r="B45" s="370"/>
      <c r="C45" s="370"/>
      <c r="D45" s="370"/>
      <c r="E45" s="371"/>
      <c r="F45" s="215" t="str">
        <f>F41</f>
        <v>Invest. (R$)</v>
      </c>
      <c r="G45" s="375">
        <f ca="1">OFFSET(QCI!O$10,(ROW(L45)-ROW(L$21))/4,0)</f>
        <v>0</v>
      </c>
      <c r="H45" s="217">
        <f t="shared" ref="H45:O45" ca="1" si="30">IF($T42,ROUND($G45*H43,2),0)</f>
        <v>0</v>
      </c>
      <c r="I45" s="217">
        <f t="shared" ca="1" si="30"/>
        <v>0</v>
      </c>
      <c r="J45" s="217">
        <f t="shared" ca="1" si="30"/>
        <v>0</v>
      </c>
      <c r="K45" s="217">
        <f t="shared" ca="1" si="30"/>
        <v>0</v>
      </c>
      <c r="L45" s="217">
        <f t="shared" ca="1" si="30"/>
        <v>0</v>
      </c>
      <c r="M45" s="217">
        <f t="shared" ca="1" si="30"/>
        <v>0</v>
      </c>
      <c r="N45" s="217">
        <f t="shared" ca="1" si="30"/>
        <v>0</v>
      </c>
      <c r="O45" s="217">
        <f t="shared" ca="1" si="30"/>
        <v>0</v>
      </c>
      <c r="P45" s="44"/>
      <c r="Q45" s="44"/>
      <c r="R45" s="44"/>
      <c r="S45" s="376"/>
      <c r="T45" s="376"/>
    </row>
    <row r="46" spans="1:20" s="18" customFormat="1">
      <c r="A46" s="44"/>
      <c r="B46" s="370">
        <f ca="1">OFFSET(QCI!B$10,(ROW(B46)-ROW(B$18))/4,0)</f>
        <v>1</v>
      </c>
      <c r="C46" s="370" t="str">
        <f ca="1">OFFSET(QCI!C$10,(ROW(C46)-ROW(C$18))/4,0)</f>
        <v>Sub-Meta</v>
      </c>
      <c r="D46" s="370" t="str">
        <f ca="1">OFFSET(QCI!D$10,(ROW(D46)-ROW(D$18))/4,0)</f>
        <v>1.7</v>
      </c>
      <c r="E46" s="371" t="str">
        <f ca="1">OFFSET(QCI!G$10,(ROW(E46)-ROW(E$18))/4,0)</f>
        <v>Esquadrias</v>
      </c>
      <c r="F46" s="218" t="s">
        <v>265</v>
      </c>
      <c r="G46" s="375">
        <f ca="1">G49</f>
        <v>26493.57</v>
      </c>
      <c r="H46" s="219">
        <v>0</v>
      </c>
      <c r="I46" s="219">
        <v>0.1</v>
      </c>
      <c r="J46" s="219">
        <v>0.1</v>
      </c>
      <c r="K46" s="219">
        <v>0.3</v>
      </c>
      <c r="L46" s="219">
        <v>0.25</v>
      </c>
      <c r="M46" s="219">
        <v>0.25</v>
      </c>
      <c r="N46" s="219">
        <v>0</v>
      </c>
      <c r="O46" s="219">
        <v>0</v>
      </c>
      <c r="P46" s="44"/>
      <c r="Q46" s="44"/>
      <c r="R46" s="44"/>
      <c r="S46" s="376">
        <f ca="1">OFFSET(QCI!U$10,(ROW(S46)-ROW(S$18))/4,0)*4</f>
        <v>0</v>
      </c>
      <c r="T46" s="376" t="b">
        <f ca="1">OFFSET(QCI!V$10,(ROW(T46)-ROW(T$18))/4,0)</f>
        <v>1</v>
      </c>
    </row>
    <row r="47" spans="1:20" s="18" customFormat="1">
      <c r="A47" s="44"/>
      <c r="B47" s="370"/>
      <c r="C47" s="370"/>
      <c r="D47" s="370"/>
      <c r="E47" s="371"/>
      <c r="F47" s="215" t="s">
        <v>87</v>
      </c>
      <c r="G47" s="375"/>
      <c r="H47" s="217">
        <f t="shared" ref="H47:O47" ca="1" si="31">IF($T46,IF(G47&gt;=1,1,G47+ROUND(H46,4)),SUMIF(OFFSET($F47,3,0,$S46),$F49,OFFSET(H47,3,0,$S46))/$G46)</f>
        <v>0</v>
      </c>
      <c r="I47" s="217">
        <f t="shared" ca="1" si="31"/>
        <v>0.1</v>
      </c>
      <c r="J47" s="217">
        <f t="shared" ca="1" si="31"/>
        <v>0.2</v>
      </c>
      <c r="K47" s="217">
        <f t="shared" ca="1" si="31"/>
        <v>0.5</v>
      </c>
      <c r="L47" s="217">
        <f t="shared" ca="1" si="31"/>
        <v>0.75</v>
      </c>
      <c r="M47" s="217">
        <f t="shared" ca="1" si="31"/>
        <v>1</v>
      </c>
      <c r="N47" s="217">
        <f t="shared" ca="1" si="31"/>
        <v>1</v>
      </c>
      <c r="O47" s="217">
        <f t="shared" ca="1" si="31"/>
        <v>1</v>
      </c>
      <c r="P47" s="44"/>
      <c r="Q47" s="44"/>
      <c r="R47" s="44"/>
      <c r="S47" s="376"/>
      <c r="T47" s="376"/>
    </row>
    <row r="48" spans="1:20" s="18" customFormat="1" ht="12.75" hidden="1" customHeight="1">
      <c r="A48" s="44"/>
      <c r="B48" s="370"/>
      <c r="C48" s="370"/>
      <c r="D48" s="370"/>
      <c r="E48" s="373"/>
      <c r="F48" s="205" t="str">
        <f>F44</f>
        <v>CP (R$)</v>
      </c>
      <c r="G48" s="375">
        <f ca="1">OFFSET(QCI!M$10,(ROW(G48)-ROW(G$20))/4,0)+OFFSET(QCI!N$10,(ROW(G48)-ROW(G$20))/4,0)</f>
        <v>10.597428000000001</v>
      </c>
      <c r="H48" s="206">
        <f t="shared" ref="H48:O48" ca="1" si="32">IF($T46,ROUND($G48*H47,2),0)</f>
        <v>0</v>
      </c>
      <c r="I48" s="206">
        <f t="shared" ca="1" si="32"/>
        <v>1.06</v>
      </c>
      <c r="J48" s="206">
        <f t="shared" ca="1" si="32"/>
        <v>2.12</v>
      </c>
      <c r="K48" s="206">
        <f t="shared" ca="1" si="32"/>
        <v>5.3</v>
      </c>
      <c r="L48" s="206">
        <f t="shared" ca="1" si="32"/>
        <v>7.95</v>
      </c>
      <c r="M48" s="206">
        <f t="shared" ca="1" si="32"/>
        <v>10.6</v>
      </c>
      <c r="N48" s="206">
        <f t="shared" ca="1" si="32"/>
        <v>10.6</v>
      </c>
      <c r="O48" s="206">
        <f t="shared" ca="1" si="32"/>
        <v>10.6</v>
      </c>
      <c r="P48" s="44"/>
      <c r="Q48" s="44"/>
      <c r="R48" s="44"/>
      <c r="S48" s="376"/>
      <c r="T48" s="376"/>
    </row>
    <row r="49" spans="1:20" s="18" customFormat="1" ht="12.75" hidden="1" customHeight="1">
      <c r="A49" s="44"/>
      <c r="B49" s="372"/>
      <c r="C49" s="372"/>
      <c r="D49" s="372"/>
      <c r="E49" s="374"/>
      <c r="F49" s="220" t="str">
        <f>F45</f>
        <v>Invest. (R$)</v>
      </c>
      <c r="G49" s="377">
        <f ca="1">OFFSET(QCI!O$10,(ROW(L49)-ROW(L$21))/4,0)</f>
        <v>26493.57</v>
      </c>
      <c r="H49" s="221">
        <f t="shared" ref="H49:O49" ca="1" si="33">IF($T46,ROUND($G49*H47,2),0)</f>
        <v>0</v>
      </c>
      <c r="I49" s="221">
        <f t="shared" ca="1" si="33"/>
        <v>2649.36</v>
      </c>
      <c r="J49" s="221">
        <f t="shared" ca="1" si="33"/>
        <v>5298.71</v>
      </c>
      <c r="K49" s="221">
        <f t="shared" ca="1" si="33"/>
        <v>13246.79</v>
      </c>
      <c r="L49" s="221">
        <f t="shared" ca="1" si="33"/>
        <v>19870.18</v>
      </c>
      <c r="M49" s="221">
        <f t="shared" ca="1" si="33"/>
        <v>26493.57</v>
      </c>
      <c r="N49" s="221">
        <f t="shared" ca="1" si="33"/>
        <v>26493.57</v>
      </c>
      <c r="O49" s="221">
        <f t="shared" ca="1" si="33"/>
        <v>26493.57</v>
      </c>
      <c r="P49" s="44"/>
      <c r="Q49" s="44"/>
      <c r="R49" s="44"/>
      <c r="S49" s="376"/>
      <c r="T49" s="376"/>
    </row>
    <row r="50" spans="1:20" s="18" customFormat="1">
      <c r="A50" s="44"/>
      <c r="B50" s="370">
        <f ca="1">OFFSET(QCI!B$10,(ROW(B50)-ROW(B$18))/4,0)</f>
        <v>1</v>
      </c>
      <c r="C50" s="370" t="str">
        <f ca="1">OFFSET(QCI!C$10,(ROW(C50)-ROW(C$18))/4,0)</f>
        <v>Sub-Meta</v>
      </c>
      <c r="D50" s="370" t="str">
        <f ca="1">OFFSET(QCI!D$10,(ROW(D50)-ROW(D$18))/4,0)</f>
        <v>1.8</v>
      </c>
      <c r="E50" s="371" t="str">
        <f ca="1">OFFSET(QCI!G$10,(ROW(E50)-ROW(E$18))/4,0)</f>
        <v>Instalações Hidrálicas e Sanitárias</v>
      </c>
      <c r="F50" s="218" t="s">
        <v>265</v>
      </c>
      <c r="G50" s="375">
        <f ca="1">G53</f>
        <v>28019.91</v>
      </c>
      <c r="H50" s="219">
        <v>0</v>
      </c>
      <c r="I50" s="219">
        <v>0</v>
      </c>
      <c r="J50" s="219">
        <v>0.2</v>
      </c>
      <c r="K50" s="219">
        <v>0.2</v>
      </c>
      <c r="L50" s="219">
        <v>0.3</v>
      </c>
      <c r="M50" s="219">
        <v>0.3</v>
      </c>
      <c r="N50" s="219">
        <v>0</v>
      </c>
      <c r="O50" s="219">
        <v>0</v>
      </c>
      <c r="P50" s="44"/>
      <c r="Q50" s="44"/>
      <c r="R50" s="44"/>
      <c r="S50" s="376">
        <f ca="1">OFFSET(QCI!U$10,(ROW(S50)-ROW(S$18))/4,0)*4</f>
        <v>0</v>
      </c>
      <c r="T50" s="376" t="b">
        <f ca="1">OFFSET(QCI!V$10,(ROW(T50)-ROW(T$18))/4,0)</f>
        <v>1</v>
      </c>
    </row>
    <row r="51" spans="1:20" s="18" customFormat="1">
      <c r="A51" s="44"/>
      <c r="B51" s="370"/>
      <c r="C51" s="370"/>
      <c r="D51" s="370"/>
      <c r="E51" s="371"/>
      <c r="F51" s="215" t="s">
        <v>87</v>
      </c>
      <c r="G51" s="375"/>
      <c r="H51" s="217">
        <f t="shared" ref="H51:O51" ca="1" si="34">IF($T50,IF(G51&gt;=1,1,G51+ROUND(H50,4)),SUMIF(OFFSET($F51,3,0,$S50),$F53,OFFSET(H51,3,0,$S50))/$G50)</f>
        <v>0</v>
      </c>
      <c r="I51" s="217">
        <f t="shared" ca="1" si="34"/>
        <v>0</v>
      </c>
      <c r="J51" s="217">
        <f t="shared" ca="1" si="34"/>
        <v>0.2</v>
      </c>
      <c r="K51" s="217">
        <f t="shared" ca="1" si="34"/>
        <v>0.4</v>
      </c>
      <c r="L51" s="217">
        <f t="shared" ca="1" si="34"/>
        <v>0.7</v>
      </c>
      <c r="M51" s="217">
        <f t="shared" ca="1" si="34"/>
        <v>1</v>
      </c>
      <c r="N51" s="217">
        <f t="shared" ca="1" si="34"/>
        <v>1</v>
      </c>
      <c r="O51" s="217">
        <f t="shared" ca="1" si="34"/>
        <v>1</v>
      </c>
      <c r="P51" s="44"/>
      <c r="Q51" s="44"/>
      <c r="R51" s="44"/>
      <c r="S51" s="376"/>
      <c r="T51" s="376"/>
    </row>
    <row r="52" spans="1:20" s="18" customFormat="1" ht="12.75" hidden="1" customHeight="1">
      <c r="A52" s="44"/>
      <c r="B52" s="370"/>
      <c r="C52" s="370"/>
      <c r="D52" s="370"/>
      <c r="E52" s="373"/>
      <c r="F52" s="205" t="str">
        <f>F48</f>
        <v>CP (R$)</v>
      </c>
      <c r="G52" s="375">
        <f ca="1">OFFSET(QCI!M$10,(ROW(G52)-ROW(G$20))/4,0)+OFFSET(QCI!N$10,(ROW(G52)-ROW(G$20))/4,0)</f>
        <v>11.207964</v>
      </c>
      <c r="H52" s="206">
        <f t="shared" ref="H52:O52" ca="1" si="35">IF($T50,ROUND($G52*H51,2),0)</f>
        <v>0</v>
      </c>
      <c r="I52" s="206">
        <f t="shared" ca="1" si="35"/>
        <v>0</v>
      </c>
      <c r="J52" s="206">
        <f t="shared" ca="1" si="35"/>
        <v>2.2400000000000002</v>
      </c>
      <c r="K52" s="206">
        <f t="shared" ca="1" si="35"/>
        <v>4.4800000000000004</v>
      </c>
      <c r="L52" s="206">
        <f t="shared" ca="1" si="35"/>
        <v>7.85</v>
      </c>
      <c r="M52" s="206">
        <f t="shared" ca="1" si="35"/>
        <v>11.21</v>
      </c>
      <c r="N52" s="206">
        <f t="shared" ca="1" si="35"/>
        <v>11.21</v>
      </c>
      <c r="O52" s="206">
        <f t="shared" ca="1" si="35"/>
        <v>11.21</v>
      </c>
      <c r="P52" s="44"/>
      <c r="Q52" s="44"/>
      <c r="R52" s="44"/>
      <c r="S52" s="376"/>
      <c r="T52" s="376"/>
    </row>
    <row r="53" spans="1:20" s="18" customFormat="1" ht="12.75" hidden="1" customHeight="1" thickBot="1">
      <c r="A53" s="44"/>
      <c r="B53" s="372"/>
      <c r="C53" s="372"/>
      <c r="D53" s="372"/>
      <c r="E53" s="374"/>
      <c r="F53" s="220" t="str">
        <f>F49</f>
        <v>Invest. (R$)</v>
      </c>
      <c r="G53" s="377">
        <f ca="1">OFFSET(QCI!O$10,(ROW(L53)-ROW(L$21))/4,0)</f>
        <v>28019.91</v>
      </c>
      <c r="H53" s="221">
        <f t="shared" ref="H53:O53" ca="1" si="36">IF($T50,ROUND($G53*H51,2),0)</f>
        <v>0</v>
      </c>
      <c r="I53" s="221">
        <f t="shared" ca="1" si="36"/>
        <v>0</v>
      </c>
      <c r="J53" s="221">
        <f t="shared" ca="1" si="36"/>
        <v>5603.98</v>
      </c>
      <c r="K53" s="221">
        <f t="shared" ca="1" si="36"/>
        <v>11207.96</v>
      </c>
      <c r="L53" s="221">
        <f t="shared" ca="1" si="36"/>
        <v>19613.939999999999</v>
      </c>
      <c r="M53" s="221">
        <f t="shared" ca="1" si="36"/>
        <v>28019.91</v>
      </c>
      <c r="N53" s="221">
        <f t="shared" ca="1" si="36"/>
        <v>28019.91</v>
      </c>
      <c r="O53" s="221">
        <f t="shared" ca="1" si="36"/>
        <v>28019.91</v>
      </c>
      <c r="P53" s="44"/>
      <c r="Q53" s="44"/>
      <c r="R53" s="44"/>
      <c r="S53" s="376"/>
      <c r="T53" s="376"/>
    </row>
    <row r="54" spans="1:20" s="18" customFormat="1">
      <c r="A54" s="44"/>
      <c r="B54" s="370">
        <f ca="1">OFFSET(QCI!B$10,(ROW(B54)-ROW(B$18))/4,0)</f>
        <v>1</v>
      </c>
      <c r="C54" s="370" t="str">
        <f ca="1">OFFSET(QCI!C$10,(ROW(C54)-ROW(C$18))/4,0)</f>
        <v>Sub-Meta</v>
      </c>
      <c r="D54" s="370" t="str">
        <f ca="1">OFFSET(QCI!D$10,(ROW(D54)-ROW(D$18))/4,0)</f>
        <v>1.9</v>
      </c>
      <c r="E54" s="371" t="str">
        <f ca="1">OFFSET(QCI!G$10,(ROW(E54)-ROW(E$18))/4,0)</f>
        <v>Instalações Elétricas</v>
      </c>
      <c r="F54" s="218" t="s">
        <v>265</v>
      </c>
      <c r="G54" s="375">
        <f ca="1">G57</f>
        <v>16111.09</v>
      </c>
      <c r="H54" s="219">
        <v>0</v>
      </c>
      <c r="I54" s="219">
        <v>0</v>
      </c>
      <c r="J54" s="219">
        <v>0</v>
      </c>
      <c r="K54" s="219">
        <v>0</v>
      </c>
      <c r="L54" s="219">
        <v>0.3</v>
      </c>
      <c r="M54" s="219">
        <v>0.7</v>
      </c>
      <c r="N54" s="219">
        <v>0</v>
      </c>
      <c r="O54" s="219">
        <v>0</v>
      </c>
      <c r="P54" s="44"/>
      <c r="Q54" s="44"/>
      <c r="R54" s="44"/>
      <c r="S54" s="376">
        <f ca="1">OFFSET(QCI!U$10,(ROW(S54)-ROW(S$18))/4,0)*4</f>
        <v>0</v>
      </c>
      <c r="T54" s="376" t="b">
        <f ca="1">OFFSET(QCI!V$10,(ROW(T54)-ROW(T$18))/4,0)</f>
        <v>1</v>
      </c>
    </row>
    <row r="55" spans="1:20" s="18" customFormat="1">
      <c r="A55" s="44"/>
      <c r="B55" s="370"/>
      <c r="C55" s="370"/>
      <c r="D55" s="370"/>
      <c r="E55" s="371"/>
      <c r="F55" s="215" t="s">
        <v>87</v>
      </c>
      <c r="G55" s="375"/>
      <c r="H55" s="217">
        <f t="shared" ref="H55:O55" ca="1" si="37">IF($T54,IF(G55&gt;=1,1,G55+ROUND(H54,4)),SUMIF(OFFSET($F55,3,0,$S54),$F57,OFFSET(H55,3,0,$S54))/$G54)</f>
        <v>0</v>
      </c>
      <c r="I55" s="217">
        <f t="shared" ca="1" si="37"/>
        <v>0</v>
      </c>
      <c r="J55" s="217">
        <f t="shared" ca="1" si="37"/>
        <v>0</v>
      </c>
      <c r="K55" s="217">
        <f t="shared" ca="1" si="37"/>
        <v>0</v>
      </c>
      <c r="L55" s="217">
        <f t="shared" ca="1" si="37"/>
        <v>0.3</v>
      </c>
      <c r="M55" s="217">
        <f t="shared" ca="1" si="37"/>
        <v>1</v>
      </c>
      <c r="N55" s="217">
        <f t="shared" ca="1" si="37"/>
        <v>1</v>
      </c>
      <c r="O55" s="217">
        <f t="shared" ca="1" si="37"/>
        <v>1</v>
      </c>
      <c r="P55" s="44"/>
      <c r="Q55" s="44"/>
      <c r="R55" s="44"/>
      <c r="S55" s="376"/>
      <c r="T55" s="376"/>
    </row>
    <row r="56" spans="1:20" s="18" customFormat="1" ht="12.75" hidden="1" customHeight="1">
      <c r="A56" s="44"/>
      <c r="B56" s="370"/>
      <c r="C56" s="370"/>
      <c r="D56" s="370"/>
      <c r="E56" s="373"/>
      <c r="F56" s="205" t="str">
        <f>F52</f>
        <v>CP (R$)</v>
      </c>
      <c r="G56" s="375">
        <f ca="1">OFFSET(QCI!M$10,(ROW(G56)-ROW(G$20))/4,0)+OFFSET(QCI!N$10,(ROW(G56)-ROW(G$20))/4,0)</f>
        <v>6.4444360000000005</v>
      </c>
      <c r="H56" s="206">
        <f t="shared" ref="H56:O56" ca="1" si="38">IF($T54,ROUND($G56*H55,2),0)</f>
        <v>0</v>
      </c>
      <c r="I56" s="206">
        <f t="shared" ca="1" si="38"/>
        <v>0</v>
      </c>
      <c r="J56" s="206">
        <f t="shared" ca="1" si="38"/>
        <v>0</v>
      </c>
      <c r="K56" s="206">
        <f t="shared" ca="1" si="38"/>
        <v>0</v>
      </c>
      <c r="L56" s="206">
        <f t="shared" ca="1" si="38"/>
        <v>1.93</v>
      </c>
      <c r="M56" s="206">
        <f t="shared" ca="1" si="38"/>
        <v>6.44</v>
      </c>
      <c r="N56" s="206">
        <f t="shared" ca="1" si="38"/>
        <v>6.44</v>
      </c>
      <c r="O56" s="206">
        <f t="shared" ca="1" si="38"/>
        <v>6.44</v>
      </c>
      <c r="P56" s="44"/>
      <c r="Q56" s="44"/>
      <c r="R56" s="44"/>
      <c r="S56" s="376"/>
      <c r="T56" s="376"/>
    </row>
    <row r="57" spans="1:20" s="18" customFormat="1" ht="12.75" hidden="1" customHeight="1" thickBot="1">
      <c r="A57" s="44"/>
      <c r="B57" s="372"/>
      <c r="C57" s="372"/>
      <c r="D57" s="372"/>
      <c r="E57" s="374"/>
      <c r="F57" s="220" t="str">
        <f>F53</f>
        <v>Invest. (R$)</v>
      </c>
      <c r="G57" s="377">
        <f ca="1">OFFSET(QCI!O$10,(ROW(L57)-ROW(L$21))/4,0)</f>
        <v>16111.09</v>
      </c>
      <c r="H57" s="221">
        <f t="shared" ref="H57:O57" ca="1" si="39">IF($T54,ROUND($G57*H55,2),0)</f>
        <v>0</v>
      </c>
      <c r="I57" s="221">
        <f t="shared" ca="1" si="39"/>
        <v>0</v>
      </c>
      <c r="J57" s="221">
        <f t="shared" ca="1" si="39"/>
        <v>0</v>
      </c>
      <c r="K57" s="221">
        <f t="shared" ca="1" si="39"/>
        <v>0</v>
      </c>
      <c r="L57" s="221">
        <f t="shared" ca="1" si="39"/>
        <v>4833.33</v>
      </c>
      <c r="M57" s="221">
        <f t="shared" ca="1" si="39"/>
        <v>16111.09</v>
      </c>
      <c r="N57" s="221">
        <f t="shared" ca="1" si="39"/>
        <v>16111.09</v>
      </c>
      <c r="O57" s="221">
        <f t="shared" ca="1" si="39"/>
        <v>16111.09</v>
      </c>
      <c r="P57" s="44"/>
      <c r="Q57" s="44"/>
      <c r="R57" s="44"/>
      <c r="S57" s="376"/>
      <c r="T57" s="376"/>
    </row>
    <row r="58" spans="1:20" s="18" customFormat="1">
      <c r="A58" s="44"/>
      <c r="B58" s="370">
        <f ca="1">OFFSET(QCI!B$10,(ROW(B58)-ROW(B$18))/4,0)</f>
        <v>1</v>
      </c>
      <c r="C58" s="370" t="str">
        <f ca="1">OFFSET(QCI!C$10,(ROW(C58)-ROW(C$18))/4,0)</f>
        <v>Sub-Meta</v>
      </c>
      <c r="D58" s="370" t="str">
        <f ca="1">OFFSET(QCI!D$10,(ROW(D58)-ROW(D$18))/4,0)</f>
        <v>1.10</v>
      </c>
      <c r="E58" s="371" t="str">
        <f ca="1">OFFSET(QCI!G$10,(ROW(E58)-ROW(E$18))/4,0)</f>
        <v>Instalações Especiais</v>
      </c>
      <c r="F58" s="218" t="s">
        <v>265</v>
      </c>
      <c r="G58" s="375">
        <f ca="1">G61</f>
        <v>45718.43</v>
      </c>
      <c r="H58" s="219">
        <v>0</v>
      </c>
      <c r="I58" s="219">
        <v>0</v>
      </c>
      <c r="J58" s="219">
        <v>0</v>
      </c>
      <c r="K58" s="219">
        <v>0</v>
      </c>
      <c r="L58" s="219">
        <v>0.3</v>
      </c>
      <c r="M58" s="219">
        <v>0.7</v>
      </c>
      <c r="N58" s="219">
        <v>0</v>
      </c>
      <c r="O58" s="219">
        <v>0</v>
      </c>
      <c r="P58" s="44"/>
      <c r="Q58" s="44"/>
      <c r="R58" s="44"/>
      <c r="S58" s="376">
        <f ca="1">OFFSET(QCI!U$10,(ROW(S58)-ROW(S$18))/4,0)*4</f>
        <v>0</v>
      </c>
      <c r="T58" s="376" t="b">
        <f ca="1">OFFSET(QCI!V$10,(ROW(T58)-ROW(T$18))/4,0)</f>
        <v>1</v>
      </c>
    </row>
    <row r="59" spans="1:20" s="18" customFormat="1">
      <c r="A59" s="44"/>
      <c r="B59" s="370"/>
      <c r="C59" s="370"/>
      <c r="D59" s="370"/>
      <c r="E59" s="371"/>
      <c r="F59" s="215" t="s">
        <v>87</v>
      </c>
      <c r="G59" s="375"/>
      <c r="H59" s="217">
        <f t="shared" ref="H59" ca="1" si="40">IF($T58,IF(G59&gt;=1,1,G59+ROUND(H58,4)),SUMIF(OFFSET($F59,3,0,$S58),$F61,OFFSET(H59,3,0,$S58))/$G58)</f>
        <v>0</v>
      </c>
      <c r="I59" s="217">
        <f t="shared" ref="I59" ca="1" si="41">IF($T58,IF(H59&gt;=1,1,H59+ROUND(I58,4)),SUMIF(OFFSET($F59,3,0,$S58),$F61,OFFSET(I59,3,0,$S58))/$G58)</f>
        <v>0</v>
      </c>
      <c r="J59" s="217">
        <f t="shared" ref="J59" ca="1" si="42">IF($T58,IF(I59&gt;=1,1,I59+ROUND(J58,4)),SUMIF(OFFSET($F59,3,0,$S58),$F61,OFFSET(J59,3,0,$S58))/$G58)</f>
        <v>0</v>
      </c>
      <c r="K59" s="217">
        <f t="shared" ref="K59" ca="1" si="43">IF($T58,IF(J59&gt;=1,1,J59+ROUND(K58,4)),SUMIF(OFFSET($F59,3,0,$S58),$F61,OFFSET(K59,3,0,$S58))/$G58)</f>
        <v>0</v>
      </c>
      <c r="L59" s="217">
        <f t="shared" ref="L59" ca="1" si="44">IF($T58,IF(K59&gt;=1,1,K59+ROUND(L58,4)),SUMIF(OFFSET($F59,3,0,$S58),$F61,OFFSET(L59,3,0,$S58))/$G58)</f>
        <v>0.3</v>
      </c>
      <c r="M59" s="217">
        <f t="shared" ref="M59" ca="1" si="45">IF($T58,IF(L59&gt;=1,1,L59+ROUND(M58,4)),SUMIF(OFFSET($F59,3,0,$S58),$F61,OFFSET(M59,3,0,$S58))/$G58)</f>
        <v>1</v>
      </c>
      <c r="N59" s="217">
        <f t="shared" ref="N59" ca="1" si="46">IF($T58,IF(M59&gt;=1,1,M59+ROUND(N58,4)),SUMIF(OFFSET($F59,3,0,$S58),$F61,OFFSET(N59,3,0,$S58))/$G58)</f>
        <v>1</v>
      </c>
      <c r="O59" s="217">
        <f t="shared" ref="O59" ca="1" si="47">IF($T58,IF(N59&gt;=1,1,N59+ROUND(O58,4)),SUMIF(OFFSET($F59,3,0,$S58),$F61,OFFSET(O59,3,0,$S58))/$G58)</f>
        <v>1</v>
      </c>
      <c r="P59" s="44"/>
      <c r="Q59" s="44"/>
      <c r="R59" s="44"/>
      <c r="S59" s="376"/>
      <c r="T59" s="376"/>
    </row>
    <row r="60" spans="1:20" s="18" customFormat="1" ht="12.75" hidden="1" customHeight="1">
      <c r="A60" s="44"/>
      <c r="B60" s="370"/>
      <c r="C60" s="370"/>
      <c r="D60" s="370"/>
      <c r="E60" s="373"/>
      <c r="F60" s="205" t="str">
        <f>F56</f>
        <v>CP (R$)</v>
      </c>
      <c r="G60" s="375">
        <f ca="1">OFFSET(QCI!M$10,(ROW(G60)-ROW(G$20))/4,0)+OFFSET(QCI!N$10,(ROW(G60)-ROW(G$20))/4,0)</f>
        <v>18.287372000000001</v>
      </c>
      <c r="H60" s="206">
        <f t="shared" ref="H60:O60" ca="1" si="48">IF($T58,ROUND($G60*H59,2),0)</f>
        <v>0</v>
      </c>
      <c r="I60" s="206">
        <f t="shared" ca="1" si="48"/>
        <v>0</v>
      </c>
      <c r="J60" s="206">
        <f t="shared" ca="1" si="48"/>
        <v>0</v>
      </c>
      <c r="K60" s="206">
        <f t="shared" ca="1" si="48"/>
        <v>0</v>
      </c>
      <c r="L60" s="206">
        <f t="shared" ca="1" si="48"/>
        <v>5.49</v>
      </c>
      <c r="M60" s="206">
        <f t="shared" ca="1" si="48"/>
        <v>18.29</v>
      </c>
      <c r="N60" s="206">
        <f t="shared" ca="1" si="48"/>
        <v>18.29</v>
      </c>
      <c r="O60" s="206">
        <f t="shared" ca="1" si="48"/>
        <v>18.29</v>
      </c>
      <c r="P60" s="44"/>
      <c r="Q60" s="44"/>
      <c r="R60" s="44"/>
      <c r="S60" s="376"/>
      <c r="T60" s="376"/>
    </row>
    <row r="61" spans="1:20" s="18" customFormat="1" ht="12.75" hidden="1" customHeight="1" thickBot="1">
      <c r="A61" s="44"/>
      <c r="B61" s="372"/>
      <c r="C61" s="372"/>
      <c r="D61" s="372"/>
      <c r="E61" s="374"/>
      <c r="F61" s="220" t="str">
        <f>F57</f>
        <v>Invest. (R$)</v>
      </c>
      <c r="G61" s="377">
        <f ca="1">OFFSET(QCI!O$10,(ROW(L61)-ROW(L$21))/4,0)</f>
        <v>45718.43</v>
      </c>
      <c r="H61" s="221">
        <f t="shared" ref="H61:O61" ca="1" si="49">IF($T58,ROUND($G61*H59,2),0)</f>
        <v>0</v>
      </c>
      <c r="I61" s="221">
        <f t="shared" ca="1" si="49"/>
        <v>0</v>
      </c>
      <c r="J61" s="221">
        <f t="shared" ca="1" si="49"/>
        <v>0</v>
      </c>
      <c r="K61" s="221">
        <f t="shared" ca="1" si="49"/>
        <v>0</v>
      </c>
      <c r="L61" s="221">
        <f t="shared" ca="1" si="49"/>
        <v>13715.53</v>
      </c>
      <c r="M61" s="221">
        <f t="shared" ca="1" si="49"/>
        <v>45718.43</v>
      </c>
      <c r="N61" s="221">
        <f t="shared" ca="1" si="49"/>
        <v>45718.43</v>
      </c>
      <c r="O61" s="221">
        <f t="shared" ca="1" si="49"/>
        <v>45718.43</v>
      </c>
      <c r="P61" s="44"/>
      <c r="Q61" s="44"/>
      <c r="R61" s="44"/>
      <c r="S61" s="376"/>
      <c r="T61" s="376"/>
    </row>
    <row r="62" spans="1:20" s="18" customFormat="1">
      <c r="A62" s="44"/>
      <c r="B62" s="370">
        <f ca="1">OFFSET(QCI!B$10,(ROW(B62)-ROW(B$18))/4,0)</f>
        <v>1</v>
      </c>
      <c r="C62" s="370" t="str">
        <f ca="1">OFFSET(QCI!C$10,(ROW(C62)-ROW(C$18))/4,0)</f>
        <v>Sub-Meta</v>
      </c>
      <c r="D62" s="370" t="str">
        <f ca="1">OFFSET(QCI!D$10,(ROW(D62)-ROW(D$18))/4,0)</f>
        <v>1.11</v>
      </c>
      <c r="E62" s="371" t="str">
        <f ca="1">OFFSET(QCI!G$10,(ROW(E62)-ROW(E$18))/4,0)</f>
        <v>Pintura e Limpeza</v>
      </c>
      <c r="F62" s="218" t="s">
        <v>265</v>
      </c>
      <c r="G62" s="375">
        <f ca="1">G65</f>
        <v>21127.56</v>
      </c>
      <c r="H62" s="219">
        <v>0</v>
      </c>
      <c r="I62" s="219">
        <v>0</v>
      </c>
      <c r="J62" s="219">
        <v>0</v>
      </c>
      <c r="K62" s="219">
        <v>0</v>
      </c>
      <c r="L62" s="219">
        <v>0.3</v>
      </c>
      <c r="M62" s="219">
        <v>0.7</v>
      </c>
      <c r="N62" s="219">
        <v>0</v>
      </c>
      <c r="O62" s="219">
        <v>0</v>
      </c>
      <c r="P62" s="44"/>
      <c r="Q62" s="44"/>
      <c r="R62" s="44"/>
      <c r="S62" s="376">
        <f ca="1">OFFSET(QCI!U$10,(ROW(S62)-ROW(S$18))/4,0)*4</f>
        <v>0</v>
      </c>
      <c r="T62" s="376" t="b">
        <f ca="1">OFFSET(QCI!V$10,(ROW(T62)-ROW(T$18))/4,0)</f>
        <v>1</v>
      </c>
    </row>
    <row r="63" spans="1:20" s="18" customFormat="1" ht="13.5" thickBot="1">
      <c r="A63" s="44"/>
      <c r="B63" s="370"/>
      <c r="C63" s="370"/>
      <c r="D63" s="370"/>
      <c r="E63" s="371"/>
      <c r="F63" s="215" t="s">
        <v>87</v>
      </c>
      <c r="G63" s="375"/>
      <c r="H63" s="217">
        <f t="shared" ref="H63" ca="1" si="50">IF($T62,IF(G63&gt;=1,1,G63+ROUND(H62,4)),SUMIF(OFFSET($F63,3,0,$S62),$F65,OFFSET(H63,3,0,$S62))/$G62)</f>
        <v>0</v>
      </c>
      <c r="I63" s="217">
        <f t="shared" ref="I63" ca="1" si="51">IF($T62,IF(H63&gt;=1,1,H63+ROUND(I62,4)),SUMIF(OFFSET($F63,3,0,$S62),$F65,OFFSET(I63,3,0,$S62))/$G62)</f>
        <v>0</v>
      </c>
      <c r="J63" s="217">
        <f t="shared" ref="J63" ca="1" si="52">IF($T62,IF(I63&gt;=1,1,I63+ROUND(J62,4)),SUMIF(OFFSET($F63,3,0,$S62),$F65,OFFSET(J63,3,0,$S62))/$G62)</f>
        <v>0</v>
      </c>
      <c r="K63" s="217">
        <f t="shared" ref="K63" ca="1" si="53">IF($T62,IF(J63&gt;=1,1,J63+ROUND(K62,4)),SUMIF(OFFSET($F63,3,0,$S62),$F65,OFFSET(K63,3,0,$S62))/$G62)</f>
        <v>0</v>
      </c>
      <c r="L63" s="217">
        <f t="shared" ref="L63" ca="1" si="54">IF($T62,IF(K63&gt;=1,1,K63+ROUND(L62,4)),SUMIF(OFFSET($F63,3,0,$S62),$F65,OFFSET(L63,3,0,$S62))/$G62)</f>
        <v>0.3</v>
      </c>
      <c r="M63" s="217">
        <f t="shared" ref="M63" ca="1" si="55">IF($T62,IF(L63&gt;=1,1,L63+ROUND(M62,4)),SUMIF(OFFSET($F63,3,0,$S62),$F65,OFFSET(M63,3,0,$S62))/$G62)</f>
        <v>1</v>
      </c>
      <c r="N63" s="217">
        <f t="shared" ref="N63" ca="1" si="56">IF($T62,IF(M63&gt;=1,1,M63+ROUND(N62,4)),SUMIF(OFFSET($F63,3,0,$S62),$F65,OFFSET(N63,3,0,$S62))/$G62)</f>
        <v>1</v>
      </c>
      <c r="O63" s="217">
        <f t="shared" ref="O63" ca="1" si="57">IF($T62,IF(N63&gt;=1,1,N63+ROUND(O62,4)),SUMIF(OFFSET($F63,3,0,$S62),$F65,OFFSET(O63,3,0,$S62))/$G62)</f>
        <v>1</v>
      </c>
      <c r="P63" s="44"/>
      <c r="Q63" s="44"/>
      <c r="R63" s="44"/>
      <c r="S63" s="376"/>
      <c r="T63" s="376"/>
    </row>
    <row r="64" spans="1:20" s="18" customFormat="1" ht="12.75" hidden="1" customHeight="1">
      <c r="A64" s="44"/>
      <c r="B64" s="370"/>
      <c r="C64" s="370"/>
      <c r="D64" s="370"/>
      <c r="E64" s="373"/>
      <c r="F64" s="205" t="str">
        <f>F60</f>
        <v>CP (R$)</v>
      </c>
      <c r="G64" s="375">
        <f ca="1">OFFSET(QCI!M$10,(ROW(G64)-ROW(G$20))/4,0)+OFFSET(QCI!N$10,(ROW(G64)-ROW(G$20))/4,0)</f>
        <v>8.4510240000000003</v>
      </c>
      <c r="H64" s="206">
        <f t="shared" ref="H64:O64" ca="1" si="58">IF($T62,ROUND($G64*H63,2),0)</f>
        <v>0</v>
      </c>
      <c r="I64" s="206">
        <f t="shared" ca="1" si="58"/>
        <v>0</v>
      </c>
      <c r="J64" s="206">
        <f t="shared" ca="1" si="58"/>
        <v>0</v>
      </c>
      <c r="K64" s="206">
        <f t="shared" ca="1" si="58"/>
        <v>0</v>
      </c>
      <c r="L64" s="206">
        <f t="shared" ca="1" si="58"/>
        <v>2.54</v>
      </c>
      <c r="M64" s="206">
        <f t="shared" ca="1" si="58"/>
        <v>8.4499999999999993</v>
      </c>
      <c r="N64" s="206">
        <f t="shared" ca="1" si="58"/>
        <v>8.4499999999999993</v>
      </c>
      <c r="O64" s="206">
        <f t="shared" ca="1" si="58"/>
        <v>8.4499999999999993</v>
      </c>
      <c r="P64" s="44"/>
      <c r="Q64" s="44"/>
      <c r="R64" s="44"/>
      <c r="S64" s="376"/>
      <c r="T64" s="376"/>
    </row>
    <row r="65" spans="1:20" s="18" customFormat="1" ht="12.75" hidden="1" customHeight="1" thickBot="1">
      <c r="A65" s="44"/>
      <c r="B65" s="372"/>
      <c r="C65" s="372"/>
      <c r="D65" s="372"/>
      <c r="E65" s="374"/>
      <c r="F65" s="220" t="str">
        <f>F61</f>
        <v>Invest. (R$)</v>
      </c>
      <c r="G65" s="377">
        <f ca="1">OFFSET(QCI!O$10,(ROW(L65)-ROW(L$21))/4,0)</f>
        <v>21127.56</v>
      </c>
      <c r="H65" s="221">
        <f t="shared" ref="H65:O65" ca="1" si="59">IF($T62,ROUND($G65*H63,2),0)</f>
        <v>0</v>
      </c>
      <c r="I65" s="221">
        <f t="shared" ca="1" si="59"/>
        <v>0</v>
      </c>
      <c r="J65" s="221">
        <f t="shared" ca="1" si="59"/>
        <v>0</v>
      </c>
      <c r="K65" s="221">
        <f t="shared" ca="1" si="59"/>
        <v>0</v>
      </c>
      <c r="L65" s="221">
        <f t="shared" ca="1" si="59"/>
        <v>6338.27</v>
      </c>
      <c r="M65" s="221">
        <f t="shared" ca="1" si="59"/>
        <v>21127.56</v>
      </c>
      <c r="N65" s="221">
        <f t="shared" ca="1" si="59"/>
        <v>21127.56</v>
      </c>
      <c r="O65" s="221">
        <f t="shared" ca="1" si="59"/>
        <v>21127.56</v>
      </c>
      <c r="P65" s="44"/>
      <c r="Q65" s="44"/>
      <c r="R65" s="44"/>
      <c r="S65" s="376"/>
      <c r="T65" s="376"/>
    </row>
    <row r="66" spans="1:20" s="4" customFormat="1" ht="12" customHeight="1" thickBot="1">
      <c r="B66" s="199" t="s">
        <v>164</v>
      </c>
      <c r="C66" s="272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71"/>
    </row>
    <row r="67" spans="1:20" ht="12.75" customHeight="1">
      <c r="B67" s="5"/>
      <c r="C67" s="5"/>
      <c r="D67" s="7"/>
      <c r="E67" s="5"/>
      <c r="F67" s="8"/>
    </row>
    <row r="68" spans="1:20" ht="24.95" customHeight="1">
      <c r="G68" s="8"/>
      <c r="H68" s="8"/>
      <c r="I68" s="8"/>
      <c r="J68" s="64"/>
      <c r="K68" s="61"/>
      <c r="L68" s="61"/>
      <c r="M68" s="61"/>
      <c r="O68" s="8"/>
    </row>
    <row r="69" spans="1:20" ht="12.75" customHeight="1">
      <c r="B69" s="381" t="str">
        <f>QCI!H24</f>
        <v>Local:</v>
      </c>
      <c r="C69" s="381"/>
      <c r="D69" s="381"/>
      <c r="E69" s="382" t="str">
        <f>QCI!I24</f>
        <v>Nova Friburgo - RJ -07 de Julho de 2022</v>
      </c>
      <c r="F69" s="382"/>
      <c r="G69" s="382"/>
      <c r="H69" s="7"/>
      <c r="I69" s="7"/>
      <c r="J69" s="354" t="s">
        <v>243</v>
      </c>
      <c r="K69" s="354"/>
      <c r="L69" s="354"/>
      <c r="M69" s="354"/>
      <c r="O69" s="8"/>
    </row>
    <row r="70" spans="1:20" ht="12.75" customHeight="1">
      <c r="B70" s="381" t="str">
        <f>QCI!H25</f>
        <v>Data:</v>
      </c>
      <c r="C70" s="381"/>
      <c r="D70" s="381"/>
      <c r="E70" s="389">
        <f>QCI!I25</f>
        <v>0</v>
      </c>
      <c r="F70" s="389"/>
      <c r="G70" s="389"/>
      <c r="H70" s="7"/>
      <c r="I70" s="7"/>
      <c r="J70" s="60" t="s">
        <v>241</v>
      </c>
      <c r="K70" s="382" t="str">
        <f>QCI!$D$28</f>
        <v>JOHNNY MAYCON CORDEIRO RIBEIRO</v>
      </c>
      <c r="L70" s="382"/>
      <c r="M70" s="382"/>
      <c r="O70" s="8"/>
    </row>
    <row r="71" spans="1:20" ht="12.75" customHeight="1">
      <c r="D71" s="9"/>
      <c r="E71" s="9"/>
      <c r="F71" s="9"/>
      <c r="G71" s="8"/>
      <c r="H71" s="8"/>
      <c r="I71" s="8"/>
      <c r="J71" s="60" t="s">
        <v>242</v>
      </c>
      <c r="K71" s="382" t="str">
        <f>QCI!$D$29</f>
        <v>PREFEITO MUNICIPAL</v>
      </c>
      <c r="L71" s="382"/>
      <c r="M71" s="382"/>
      <c r="N71" s="8"/>
      <c r="O71" s="8"/>
    </row>
    <row r="72" spans="1:20"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20"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</sheetData>
  <sheetProtection password="E005" sheet="1" objects="1" scenarios="1"/>
  <mergeCells count="155">
    <mergeCell ref="B62:B63"/>
    <mergeCell ref="C62:C63"/>
    <mergeCell ref="D62:D63"/>
    <mergeCell ref="E62:E63"/>
    <mergeCell ref="G62:G63"/>
    <mergeCell ref="S62:S65"/>
    <mergeCell ref="T62:T65"/>
    <mergeCell ref="B64:B65"/>
    <mergeCell ref="C64:C65"/>
    <mergeCell ref="D64:D65"/>
    <mergeCell ref="E64:E65"/>
    <mergeCell ref="G64:G65"/>
    <mergeCell ref="B58:B59"/>
    <mergeCell ref="C58:C59"/>
    <mergeCell ref="D58:D59"/>
    <mergeCell ref="E58:E59"/>
    <mergeCell ref="G58:G59"/>
    <mergeCell ref="B60:B61"/>
    <mergeCell ref="C60:C61"/>
    <mergeCell ref="D60:D61"/>
    <mergeCell ref="E60:E61"/>
    <mergeCell ref="G60:G61"/>
    <mergeCell ref="E8:E9"/>
    <mergeCell ref="G8:G9"/>
    <mergeCell ref="C8:D9"/>
    <mergeCell ref="B8:B9"/>
    <mergeCell ref="B70:D70"/>
    <mergeCell ref="B34:B35"/>
    <mergeCell ref="C34:C35"/>
    <mergeCell ref="B42:B43"/>
    <mergeCell ref="B48:B49"/>
    <mergeCell ref="B46:B47"/>
    <mergeCell ref="C46:C47"/>
    <mergeCell ref="E69:G69"/>
    <mergeCell ref="E70:G70"/>
    <mergeCell ref="C38:C39"/>
    <mergeCell ref="D38:D39"/>
    <mergeCell ref="C42:C43"/>
    <mergeCell ref="D42:D43"/>
    <mergeCell ref="C44:C45"/>
    <mergeCell ref="D44:D45"/>
    <mergeCell ref="C48:C49"/>
    <mergeCell ref="D48:D49"/>
    <mergeCell ref="B36:B37"/>
    <mergeCell ref="C36:C37"/>
    <mergeCell ref="D36:D37"/>
    <mergeCell ref="E10:E13"/>
    <mergeCell ref="E14:E17"/>
    <mergeCell ref="B18:B19"/>
    <mergeCell ref="C18:C19"/>
    <mergeCell ref="D18:D19"/>
    <mergeCell ref="C32:C33"/>
    <mergeCell ref="D32:D33"/>
    <mergeCell ref="B38:B39"/>
    <mergeCell ref="D28:D29"/>
    <mergeCell ref="B28:B29"/>
    <mergeCell ref="C28:C29"/>
    <mergeCell ref="D34:D35"/>
    <mergeCell ref="B30:B31"/>
    <mergeCell ref="C30:C31"/>
    <mergeCell ref="D30:D31"/>
    <mergeCell ref="B32:B33"/>
    <mergeCell ref="D26:D27"/>
    <mergeCell ref="B24:B25"/>
    <mergeCell ref="C24:C25"/>
    <mergeCell ref="D24:D25"/>
    <mergeCell ref="E30:E31"/>
    <mergeCell ref="B69:D69"/>
    <mergeCell ref="B22:B23"/>
    <mergeCell ref="C22:C23"/>
    <mergeCell ref="D22:D23"/>
    <mergeCell ref="B26:B27"/>
    <mergeCell ref="C26:C27"/>
    <mergeCell ref="G38:G39"/>
    <mergeCell ref="K71:M71"/>
    <mergeCell ref="G18:G19"/>
    <mergeCell ref="E18:E19"/>
    <mergeCell ref="E22:E23"/>
    <mergeCell ref="G22:G23"/>
    <mergeCell ref="E26:E27"/>
    <mergeCell ref="G26:G27"/>
    <mergeCell ref="G30:G31"/>
    <mergeCell ref="E36:E37"/>
    <mergeCell ref="K70:M70"/>
    <mergeCell ref="D46:D47"/>
    <mergeCell ref="E52:E53"/>
    <mergeCell ref="G52:G53"/>
    <mergeCell ref="G56:G57"/>
    <mergeCell ref="G54:G55"/>
    <mergeCell ref="B50:B51"/>
    <mergeCell ref="C50:C51"/>
    <mergeCell ref="G32:G33"/>
    <mergeCell ref="S38:S41"/>
    <mergeCell ref="T38:T41"/>
    <mergeCell ref="E46:E47"/>
    <mergeCell ref="E24:E25"/>
    <mergeCell ref="E32:E33"/>
    <mergeCell ref="G24:G25"/>
    <mergeCell ref="G28:G29"/>
    <mergeCell ref="G36:G37"/>
    <mergeCell ref="G34:G35"/>
    <mergeCell ref="E28:E29"/>
    <mergeCell ref="E34:E35"/>
    <mergeCell ref="E38:E39"/>
    <mergeCell ref="T16:T17"/>
    <mergeCell ref="H3:N3"/>
    <mergeCell ref="S16:S17"/>
    <mergeCell ref="J69:M69"/>
    <mergeCell ref="T18:T21"/>
    <mergeCell ref="S18:S21"/>
    <mergeCell ref="S22:S25"/>
    <mergeCell ref="T42:T45"/>
    <mergeCell ref="T46:T49"/>
    <mergeCell ref="T50:T53"/>
    <mergeCell ref="T54:T57"/>
    <mergeCell ref="T26:T29"/>
    <mergeCell ref="T30:T33"/>
    <mergeCell ref="T34:T37"/>
    <mergeCell ref="S54:S57"/>
    <mergeCell ref="T58:T61"/>
    <mergeCell ref="S58:S61"/>
    <mergeCell ref="S46:S49"/>
    <mergeCell ref="S34:S37"/>
    <mergeCell ref="S30:S33"/>
    <mergeCell ref="S42:S45"/>
    <mergeCell ref="T22:T25"/>
    <mergeCell ref="S26:S29"/>
    <mergeCell ref="G50:G51"/>
    <mergeCell ref="S50:S53"/>
    <mergeCell ref="B52:B53"/>
    <mergeCell ref="C52:C53"/>
    <mergeCell ref="D52:D53"/>
    <mergeCell ref="G40:G41"/>
    <mergeCell ref="G46:G47"/>
    <mergeCell ref="B44:B45"/>
    <mergeCell ref="B40:B41"/>
    <mergeCell ref="C40:C41"/>
    <mergeCell ref="D40:D41"/>
    <mergeCell ref="E40:E41"/>
    <mergeCell ref="E42:E43"/>
    <mergeCell ref="G44:G45"/>
    <mergeCell ref="E44:E45"/>
    <mergeCell ref="E48:E49"/>
    <mergeCell ref="G48:G49"/>
    <mergeCell ref="G42:G43"/>
    <mergeCell ref="B54:B55"/>
    <mergeCell ref="C54:C55"/>
    <mergeCell ref="D54:D55"/>
    <mergeCell ref="E54:E55"/>
    <mergeCell ref="B56:B57"/>
    <mergeCell ref="C56:C57"/>
    <mergeCell ref="D56:D57"/>
    <mergeCell ref="E56:E57"/>
    <mergeCell ref="D50:D51"/>
    <mergeCell ref="E50:E51"/>
  </mergeCells>
  <phoneticPr fontId="4" type="noConversion"/>
  <conditionalFormatting sqref="F20:F21">
    <cfRule type="expression" dxfId="87" priority="45" stopIfTrue="1">
      <formula>$C20="Meta"</formula>
    </cfRule>
  </conditionalFormatting>
  <conditionalFormatting sqref="F18 B18:E19 G18:G19 F22 F24 F48 F26 F28 F30 F32 F34 F36 F38 F40 F42 F44 F46 G22:G49 B22:E49">
    <cfRule type="expression" dxfId="86" priority="46" stopIfTrue="1">
      <formula>$G18=0</formula>
    </cfRule>
    <cfRule type="expression" dxfId="85" priority="47" stopIfTrue="1">
      <formula>$C18="Meta"</formula>
    </cfRule>
  </conditionalFormatting>
  <conditionalFormatting sqref="F19 F23 F25 F47 F27 F29 F31 F33 F35 F37 F39 F41 F43 F45 F49">
    <cfRule type="expression" dxfId="84" priority="48" stopIfTrue="1">
      <formula>$G18=0</formula>
    </cfRule>
    <cfRule type="expression" dxfId="83" priority="49" stopIfTrue="1">
      <formula>$C18="Meta"</formula>
    </cfRule>
  </conditionalFormatting>
  <conditionalFormatting sqref="H10:O10">
    <cfRule type="expression" dxfId="82" priority="50" stopIfTrue="1">
      <formula>H$7&gt;$F$9</formula>
    </cfRule>
    <cfRule type="cellIs" dxfId="81" priority="51" stopIfTrue="1" operator="notBetween">
      <formula>0</formula>
      <formula>1</formula>
    </cfRule>
  </conditionalFormatting>
  <conditionalFormatting sqref="H14:O14">
    <cfRule type="expression" dxfId="80" priority="52" stopIfTrue="1">
      <formula>H$7&gt;$F$9</formula>
    </cfRule>
    <cfRule type="cellIs" dxfId="79" priority="53" stopIfTrue="1" operator="notBetween">
      <formula>0</formula>
      <formula>1</formula>
    </cfRule>
    <cfRule type="expression" dxfId="78" priority="54" stopIfTrue="1">
      <formula>AND(H$7=$F$9,H14&lt;1)</formula>
    </cfRule>
  </conditionalFormatting>
  <conditionalFormatting sqref="H11:O13 H15:O17">
    <cfRule type="expression" dxfId="77" priority="55" stopIfTrue="1">
      <formula>H$7&gt;$F$9</formula>
    </cfRule>
  </conditionalFormatting>
  <conditionalFormatting sqref="H8:O9">
    <cfRule type="expression" dxfId="76" priority="56" stopIfTrue="1">
      <formula>H$7&gt;$F$9</formula>
    </cfRule>
  </conditionalFormatting>
  <conditionalFormatting sqref="H21:O21">
    <cfRule type="expression" dxfId="75" priority="57" stopIfTrue="1">
      <formula>OR(H$7&gt;$F$9,G21&gt;=1)</formula>
    </cfRule>
    <cfRule type="cellIs" dxfId="74" priority="58" stopIfTrue="1" operator="notBetween">
      <formula>0</formula>
      <formula>1</formula>
    </cfRule>
    <cfRule type="expression" dxfId="73" priority="59" stopIfTrue="1">
      <formula>AND(H$7=$F$9,H21&lt;1)</formula>
    </cfRule>
  </conditionalFormatting>
  <conditionalFormatting sqref="H25:O25 H43:O43 H23:O23 H29:O29 H27:O27 H33:O33 H31:O31 H37:O37 H35:O35 H41:O41 H39:O39 H45:O45 H19:O19 H47:O47 H49:O49">
    <cfRule type="expression" dxfId="72" priority="60" stopIfTrue="1">
      <formula>OR(H$7&gt;$F$9,G19&gt;=1,$G18=0)</formula>
    </cfRule>
    <cfRule type="cellIs" dxfId="71" priority="61" stopIfTrue="1" operator="notBetween">
      <formula>0</formula>
      <formula>1</formula>
    </cfRule>
    <cfRule type="expression" dxfId="70" priority="62" stopIfTrue="1">
      <formula>AND(H$7=$F$9,H19&lt;1)</formula>
    </cfRule>
  </conditionalFormatting>
  <conditionalFormatting sqref="H20:O20">
    <cfRule type="expression" dxfId="69" priority="63" stopIfTrue="1">
      <formula>OR(H$7&gt;$F$9,$T20=FALSE,G21&gt;=1)</formula>
    </cfRule>
    <cfRule type="cellIs" dxfId="68" priority="64" stopIfTrue="1" operator="notBetween">
      <formula>0</formula>
      <formula>1</formula>
    </cfRule>
  </conditionalFormatting>
  <conditionalFormatting sqref="H24:O24 H48:O48 H26:O26 H28:O28 H30:O30 H32:O32 H34:O34 H36:O36 H38:O38 H40:O40 H42:O42 H44:O44 H46:O46 H18:O18 H22:O22">
    <cfRule type="expression" dxfId="67" priority="65" stopIfTrue="1">
      <formula>OR(H$7&gt;$F$9,$T18=FALSE,G19&gt;=1,$G18=0)</formula>
    </cfRule>
    <cfRule type="cellIs" dxfId="66" priority="66" stopIfTrue="1" operator="notBetween">
      <formula>0</formula>
      <formula>1</formula>
    </cfRule>
  </conditionalFormatting>
  <conditionalFormatting sqref="A18:A49 P18:R49">
    <cfRule type="expression" dxfId="65" priority="67" stopIfTrue="1">
      <formula>ISERROR($B18)</formula>
    </cfRule>
  </conditionalFormatting>
  <conditionalFormatting sqref="F9">
    <cfRule type="expression" dxfId="64" priority="68" stopIfTrue="1">
      <formula>OR(#REF!="(selecione)",#REF!="Sub-Meta")</formula>
    </cfRule>
  </conditionalFormatting>
  <conditionalFormatting sqref="F52 F50 G50:G53 B50:E53">
    <cfRule type="expression" dxfId="63" priority="35" stopIfTrue="1">
      <formula>$G50=0</formula>
    </cfRule>
    <cfRule type="expression" dxfId="62" priority="36" stopIfTrue="1">
      <formula>$C50="Meta"</formula>
    </cfRule>
  </conditionalFormatting>
  <conditionalFormatting sqref="F51 F53">
    <cfRule type="expression" dxfId="61" priority="37" stopIfTrue="1">
      <formula>$G50=0</formula>
    </cfRule>
    <cfRule type="expression" dxfId="60" priority="38" stopIfTrue="1">
      <formula>$C50="Meta"</formula>
    </cfRule>
  </conditionalFormatting>
  <conditionalFormatting sqref="H51:O51 H53:O53">
    <cfRule type="expression" dxfId="59" priority="39" stopIfTrue="1">
      <formula>OR(H$7&gt;$F$9,G51&gt;=1,$G50=0)</formula>
    </cfRule>
    <cfRule type="cellIs" dxfId="58" priority="40" stopIfTrue="1" operator="notBetween">
      <formula>0</formula>
      <formula>1</formula>
    </cfRule>
    <cfRule type="expression" dxfId="57" priority="41" stopIfTrue="1">
      <formula>AND(H$7=$F$9,H51&lt;1)</formula>
    </cfRule>
  </conditionalFormatting>
  <conditionalFormatting sqref="H52:O52 H50:O50">
    <cfRule type="expression" dxfId="56" priority="42" stopIfTrue="1">
      <formula>OR(H$7&gt;$F$9,$T50=FALSE,G51&gt;=1,$G50=0)</formula>
    </cfRule>
    <cfRule type="cellIs" dxfId="55" priority="43" stopIfTrue="1" operator="notBetween">
      <formula>0</formula>
      <formula>1</formula>
    </cfRule>
  </conditionalFormatting>
  <conditionalFormatting sqref="A50:A53 P50:R53">
    <cfRule type="expression" dxfId="54" priority="44" stopIfTrue="1">
      <formula>ISERROR($B50)</formula>
    </cfRule>
  </conditionalFormatting>
  <conditionalFormatting sqref="F56 F54 F60 F58 F64 F62 G54:G65 B54:E65">
    <cfRule type="expression" dxfId="53" priority="25" stopIfTrue="1">
      <formula>$G54=0</formula>
    </cfRule>
    <cfRule type="expression" dxfId="52" priority="26" stopIfTrue="1">
      <formula>$C54="Meta"</formula>
    </cfRule>
  </conditionalFormatting>
  <conditionalFormatting sqref="F55 F57:F65">
    <cfRule type="expression" dxfId="51" priority="27" stopIfTrue="1">
      <formula>$G54=0</formula>
    </cfRule>
    <cfRule type="expression" dxfId="50" priority="28" stopIfTrue="1">
      <formula>$C54="Meta"</formula>
    </cfRule>
  </conditionalFormatting>
  <conditionalFormatting sqref="H55:O55 H57:O65">
    <cfRule type="expression" dxfId="49" priority="29" stopIfTrue="1">
      <formula>OR(H$7&gt;$F$9,G55&gt;=1,$G54=0)</formula>
    </cfRule>
    <cfRule type="cellIs" dxfId="48" priority="30" stopIfTrue="1" operator="notBetween">
      <formula>0</formula>
      <formula>1</formula>
    </cfRule>
    <cfRule type="expression" dxfId="47" priority="31" stopIfTrue="1">
      <formula>AND(H$7=$F$9,H55&lt;1)</formula>
    </cfRule>
  </conditionalFormatting>
  <conditionalFormatting sqref="H56:O56 H54:O54">
    <cfRule type="expression" dxfId="46" priority="32" stopIfTrue="1">
      <formula>OR(H$7&gt;$F$9,$T54=FALSE,G55&gt;=1,$G54=0)</formula>
    </cfRule>
    <cfRule type="cellIs" dxfId="45" priority="33" stopIfTrue="1" operator="notBetween">
      <formula>0</formula>
      <formula>1</formula>
    </cfRule>
  </conditionalFormatting>
  <conditionalFormatting sqref="A54:A65 P54:R65">
    <cfRule type="expression" dxfId="44" priority="34" stopIfTrue="1">
      <formula>ISERROR($B54)</formula>
    </cfRule>
  </conditionalFormatting>
  <conditionalFormatting sqref="H60:O60 H58:O58">
    <cfRule type="expression" dxfId="43" priority="3" stopIfTrue="1">
      <formula>OR(H$7&gt;$F$9,$T58=FALSE,G59&gt;=1,$G58=0)</formula>
    </cfRule>
    <cfRule type="cellIs" dxfId="42" priority="4" stopIfTrue="1" operator="notBetween">
      <formula>0</formula>
      <formula>1</formula>
    </cfRule>
  </conditionalFormatting>
  <conditionalFormatting sqref="H64:O64 H62:O62">
    <cfRule type="expression" dxfId="41" priority="1" stopIfTrue="1">
      <formula>OR(H$7&gt;$F$9,$T62=FALSE,G63&gt;=1,$G62=0)</formula>
    </cfRule>
    <cfRule type="cellIs" dxfId="40" priority="2" stopIfTrue="1" operator="notBetween">
      <formula>0</formula>
      <formula>1</formula>
    </cfRule>
  </conditionalFormatting>
  <dataValidations count="5">
    <dataValidation type="decimal" allowBlank="1" showInputMessage="1" showErrorMessage="1" sqref="H19:O19 H55:O55 H51:O51 H43:O43 H47:O47 H35:O35 H31:O31 H39:O39 H23:O23 H27:O27 H59:O59 H63:O63">
      <formula1>0</formula1>
      <formula2>1</formula2>
    </dataValidation>
    <dataValidation type="decimal" allowBlank="1" showInputMessage="1" showErrorMessage="1" errorTitle="Erro de Entrada" error="O percentual acumulado não deve ser maior do que 100%." sqref="H18:O18 H54:O54 H50:O50 H46:O46 H42:O42 H38:O38 H34:O34 H22:O22 H26:O26 H30:O30 H58:O58 H62:O62">
      <formula1>0</formula1>
      <formula2>1</formula2>
    </dataValidation>
    <dataValidation type="whole" operator="greaterThan" allowBlank="1" showInputMessage="1" showErrorMessage="1" sqref="F9">
      <formula1>0</formula1>
    </dataValidation>
    <dataValidation type="list" allowBlank="1" showInputMessage="1" showErrorMessage="1" promptTitle="Tipo de Cronograma:" prompt="Selecione na lista." sqref="E6">
      <formula1>"Inicial,Licitado,Reprogramado"</formula1>
    </dataValidation>
    <dataValidation type="date" operator="greaterThan" allowBlank="1" showInputMessage="1" showErrorMessage="1" promptTitle="Início Previsto:" prompt="Digite a data prevista para o início das obras." sqref="F6">
      <formula1>36526</formula1>
    </dataValidation>
  </dataValidations>
  <printOptions horizontalCentered="1"/>
  <pageMargins left="0.78740157480314965" right="0.78740157480314965" top="0.78740157480314965" bottom="0.78740157480314965" header="0" footer="0"/>
  <pageSetup paperSize="9" scale="57" fitToHeight="0" pageOrder="overThenDown" orientation="landscape" horizontalDpi="4294967294" verticalDpi="4294967294" r:id="rId1"/>
  <headerFooter alignWithMargins="0">
    <oddFooter>&amp;L41.211 v005  micro&amp;R&amp;P</oddFooter>
  </headerFooter>
  <drawing r:id="rId2"/>
  <legacyDrawing r:id="rId3"/>
  <oleObjects>
    <oleObject shapeId="2106" r:id="rId4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3">
    <pageSetUpPr fitToPage="1"/>
  </sheetPr>
  <dimension ref="A1:Z41"/>
  <sheetViews>
    <sheetView showGridLines="0" view="pageBreakPreview" topLeftCell="A7" zoomScaleSheetLayoutView="130" workbookViewId="0">
      <selection activeCell="B26" sqref="B26"/>
    </sheetView>
  </sheetViews>
  <sheetFormatPr defaultColWidth="3.28515625" defaultRowHeight="12.75"/>
  <cols>
    <col min="1" max="1" width="1.5703125" style="2" customWidth="1"/>
    <col min="2" max="2" width="6.7109375" style="2" customWidth="1"/>
    <col min="3" max="3" width="9.7109375" style="2" customWidth="1"/>
    <col min="4" max="4" width="5.7109375" style="2" customWidth="1"/>
    <col min="5" max="5" width="45.7109375" style="2" customWidth="1"/>
    <col min="6" max="6" width="17.7109375" style="2" customWidth="1"/>
    <col min="7" max="7" width="9.7109375" style="2" customWidth="1"/>
    <col min="8" max="8" width="8.7109375" style="2" customWidth="1"/>
    <col min="9" max="9" width="17.7109375" style="2" customWidth="1"/>
    <col min="10" max="12" width="15.7109375" style="2" customWidth="1"/>
    <col min="13" max="14" width="15.7109375" style="2" hidden="1" customWidth="1"/>
    <col min="15" max="15" width="15.7109375" style="2" customWidth="1"/>
    <col min="16" max="16" width="12.7109375" style="2" customWidth="1"/>
    <col min="17" max="17" width="3.28515625" style="2"/>
    <col min="18" max="18" width="10.7109375" style="2" customWidth="1"/>
    <col min="19" max="19" width="10.7109375" style="2" hidden="1" customWidth="1"/>
    <col min="20" max="20" width="13.7109375" style="2" hidden="1" customWidth="1"/>
    <col min="21" max="23" width="15.7109375" style="2" hidden="1" customWidth="1"/>
    <col min="24" max="24" width="0" style="2" hidden="1" customWidth="1"/>
    <col min="25" max="26" width="15.7109375" style="2" hidden="1" customWidth="1"/>
    <col min="27" max="16384" width="3.28515625" style="2"/>
  </cols>
  <sheetData>
    <row r="1" spans="1:26">
      <c r="K1" s="30" t="s">
        <v>281</v>
      </c>
      <c r="L1" s="30"/>
      <c r="M1" s="30"/>
      <c r="N1" s="30"/>
      <c r="O1" s="30" t="s">
        <v>282</v>
      </c>
      <c r="S1" s="9" t="s">
        <v>280</v>
      </c>
      <c r="U1" s="30" t="s">
        <v>289</v>
      </c>
      <c r="V1" s="30" t="s">
        <v>302</v>
      </c>
      <c r="Y1" s="30" t="s">
        <v>300</v>
      </c>
      <c r="Z1" s="30" t="s">
        <v>301</v>
      </c>
    </row>
    <row r="2" spans="1:26">
      <c r="J2" s="23"/>
      <c r="P2" s="21" t="str">
        <f>QCI!O2</f>
        <v>Grau de Sigilo</v>
      </c>
    </row>
    <row r="3" spans="1:26" ht="12.75" customHeight="1">
      <c r="B3" s="355" t="str">
        <f>CONCATENATE("RRE - RELATÓRIO RESUMO DO EMPREENDIMENTO - ",IF($S$1="RRET","TOMADOR","CAIXA"))</f>
        <v>RRE - RELATÓRIO RESUMO DO EMPREENDIMENTO - TOMADOR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6"/>
      <c r="P3" s="20" t="str">
        <f>QCI!O3</f>
        <v>#PUBLICO</v>
      </c>
    </row>
    <row r="4" spans="1:26" ht="129.94999999999999" customHeight="1" thickBot="1">
      <c r="S4" s="38"/>
      <c r="T4" s="38"/>
      <c r="U4" s="38"/>
      <c r="V4" s="38"/>
      <c r="W4" s="38"/>
      <c r="Y4" s="38"/>
      <c r="Z4" s="38"/>
    </row>
    <row r="5" spans="1:26" ht="12.75" customHeight="1">
      <c r="B5" s="411" t="s">
        <v>274</v>
      </c>
      <c r="C5" s="412"/>
      <c r="D5" s="415">
        <v>1</v>
      </c>
      <c r="E5" s="110" t="s">
        <v>277</v>
      </c>
      <c r="F5" s="421" t="s">
        <v>276</v>
      </c>
      <c r="G5" s="422"/>
      <c r="H5" s="108"/>
      <c r="I5" s="409" t="s">
        <v>80</v>
      </c>
      <c r="J5" s="292" t="str">
        <f>CRONO!$F$11</f>
        <v>Repasse (R$)</v>
      </c>
      <c r="K5" s="113" t="s">
        <v>124</v>
      </c>
      <c r="L5" s="114" t="s">
        <v>128</v>
      </c>
      <c r="M5" s="105"/>
      <c r="N5" s="105"/>
      <c r="S5" s="38"/>
      <c r="T5" s="138" t="s">
        <v>290</v>
      </c>
      <c r="U5" s="138" t="s">
        <v>291</v>
      </c>
      <c r="V5" s="138" t="s">
        <v>292</v>
      </c>
      <c r="W5" s="38"/>
      <c r="Y5" s="38"/>
      <c r="Z5" s="38"/>
    </row>
    <row r="6" spans="1:26" ht="12.75" customHeight="1" thickBot="1">
      <c r="B6" s="413"/>
      <c r="C6" s="414"/>
      <c r="D6" s="416"/>
      <c r="E6" s="115" t="str">
        <f ca="1">IF(P11&lt;G6,"Atrasada",IF(P11&gt;G6,"Adiantada","Normal"))</f>
        <v>Atrasada</v>
      </c>
      <c r="F6" s="111">
        <f ca="1">DATE(YEAR(J29),MONTH(J29),1)</f>
        <v>44743</v>
      </c>
      <c r="G6" s="112">
        <f ca="1">IF($F$6&lt;DATE(YEAR(CRONO!$F$6),MONTH(CRONO!$F$6),1),0,IF(COUNTIF(CRONO!$H$9:$P$9,RRE!$F$6)=0,1,HLOOKUP(RRE!$F$6,CRONO!$H$9:$P$14,6)))</f>
        <v>1</v>
      </c>
      <c r="H6" s="109"/>
      <c r="I6" s="410"/>
      <c r="J6" s="126">
        <f ca="1">QCI!L7</f>
        <v>24113.100000000006</v>
      </c>
      <c r="K6" s="126">
        <f ca="1">QCI!M7</f>
        <v>5.6099999999999994</v>
      </c>
      <c r="L6" s="127">
        <f ca="1">QCI!O7</f>
        <v>24118.709999999992</v>
      </c>
      <c r="M6" s="105"/>
      <c r="N6" s="105"/>
      <c r="S6" s="38"/>
      <c r="T6" s="138" t="s">
        <v>286</v>
      </c>
      <c r="U6" s="139">
        <f ca="1">MIN($J12,K$14-K$13)</f>
        <v>0</v>
      </c>
      <c r="V6" s="139">
        <f ca="1">MIN($J12,O$14-O$13)</f>
        <v>0</v>
      </c>
      <c r="W6" s="38"/>
      <c r="Y6" s="38"/>
      <c r="Z6" s="38"/>
    </row>
    <row r="7" spans="1:26" ht="12.75" customHeight="1">
      <c r="B7" s="104"/>
      <c r="C7" s="104"/>
      <c r="D7" s="107"/>
      <c r="E7" s="105"/>
      <c r="F7" s="106"/>
      <c r="G7" s="106"/>
      <c r="H7" s="106"/>
      <c r="I7" s="106"/>
      <c r="J7" s="28"/>
      <c r="M7" s="28"/>
      <c r="N7" s="28"/>
      <c r="S7" s="38"/>
      <c r="T7" s="38"/>
      <c r="U7" s="38"/>
      <c r="V7" s="152" t="s">
        <v>295</v>
      </c>
      <c r="W7" s="38"/>
      <c r="Y7" s="38"/>
      <c r="Z7" s="38"/>
    </row>
    <row r="8" spans="1:26" ht="12.75" customHeight="1">
      <c r="B8" s="103"/>
      <c r="C8" s="103"/>
      <c r="D8" s="118"/>
      <c r="E8" s="105"/>
      <c r="F8" s="106"/>
      <c r="G8" s="106"/>
      <c r="H8" s="106"/>
      <c r="I8" s="106"/>
      <c r="J8" s="28"/>
      <c r="K8" s="417" t="str">
        <f>IF($S$1="RRET","Valores Medidos (R$)","Valores Aferidos (R$)")</f>
        <v>Valores Medidos (R$)</v>
      </c>
      <c r="L8" s="418"/>
      <c r="M8" s="418"/>
      <c r="N8" s="418"/>
      <c r="O8" s="356"/>
      <c r="P8" s="430" t="s">
        <v>244</v>
      </c>
      <c r="S8" s="38"/>
      <c r="T8" s="38"/>
      <c r="U8" s="38"/>
      <c r="V8" s="38"/>
      <c r="W8" s="38"/>
      <c r="Y8" s="432" t="s">
        <v>298</v>
      </c>
      <c r="Z8" s="432"/>
    </row>
    <row r="9" spans="1:26" s="11" customFormat="1" ht="12.75" customHeight="1">
      <c r="B9" s="344" t="s">
        <v>1</v>
      </c>
      <c r="C9" s="362" t="s">
        <v>105</v>
      </c>
      <c r="D9" s="363"/>
      <c r="E9" s="365" t="s">
        <v>108</v>
      </c>
      <c r="F9" s="344" t="s">
        <v>83</v>
      </c>
      <c r="G9" s="344" t="s">
        <v>84</v>
      </c>
      <c r="H9" s="344" t="s">
        <v>85</v>
      </c>
      <c r="I9" s="343" t="s">
        <v>109</v>
      </c>
      <c r="J9" s="16" t="s">
        <v>257</v>
      </c>
      <c r="K9" s="343" t="s">
        <v>133</v>
      </c>
      <c r="L9" s="343" t="s">
        <v>134</v>
      </c>
      <c r="M9" s="419" t="s">
        <v>275</v>
      </c>
      <c r="N9" s="420"/>
      <c r="O9" s="429" t="s">
        <v>129</v>
      </c>
      <c r="P9" s="430"/>
      <c r="R9" s="378"/>
      <c r="S9" s="431" t="s">
        <v>268</v>
      </c>
      <c r="T9" s="431" t="s">
        <v>118</v>
      </c>
      <c r="U9" s="140"/>
      <c r="V9" s="431" t="s">
        <v>293</v>
      </c>
      <c r="W9" s="433" t="s">
        <v>150</v>
      </c>
      <c r="Y9" s="431" t="s">
        <v>291</v>
      </c>
      <c r="Z9" s="431" t="s">
        <v>299</v>
      </c>
    </row>
    <row r="10" spans="1:26" s="11" customFormat="1" ht="13.5" customHeight="1" thickBot="1">
      <c r="B10" s="344"/>
      <c r="C10" s="362"/>
      <c r="D10" s="363"/>
      <c r="E10" s="365"/>
      <c r="F10" s="344"/>
      <c r="G10" s="344"/>
      <c r="H10" s="345"/>
      <c r="I10" s="348"/>
      <c r="J10" s="16"/>
      <c r="K10" s="343"/>
      <c r="L10" s="343"/>
      <c r="M10" s="419"/>
      <c r="N10" s="420"/>
      <c r="O10" s="429"/>
      <c r="P10" s="430"/>
      <c r="R10" s="378"/>
      <c r="S10" s="431"/>
      <c r="T10" s="431"/>
      <c r="U10" s="140" t="s">
        <v>294</v>
      </c>
      <c r="V10" s="431"/>
      <c r="W10" s="433"/>
      <c r="Y10" s="431"/>
      <c r="Z10" s="431"/>
    </row>
    <row r="11" spans="1:26" s="4" customFormat="1" ht="12" customHeight="1">
      <c r="B11" s="163"/>
      <c r="C11" s="166"/>
      <c r="D11" s="165"/>
      <c r="E11" s="202"/>
      <c r="F11" s="403" t="s">
        <v>86</v>
      </c>
      <c r="G11" s="404"/>
      <c r="H11" s="394" t="str">
        <f>$J$5</f>
        <v>Repasse (R$)</v>
      </c>
      <c r="I11" s="395"/>
      <c r="J11" s="128">
        <f ca="1">QCI!L9</f>
        <v>225886.9</v>
      </c>
      <c r="K11" s="148">
        <f ca="1">K14-K13-K12</f>
        <v>0</v>
      </c>
      <c r="L11" s="129">
        <f ca="1">ROUND(O11,2)-ROUND(K11,2)</f>
        <v>0</v>
      </c>
      <c r="M11" s="426" t="s">
        <v>258</v>
      </c>
      <c r="N11" s="426" t="s">
        <v>130</v>
      </c>
      <c r="O11" s="129">
        <f ca="1">O14-O13-O12</f>
        <v>0</v>
      </c>
      <c r="P11" s="423">
        <f ca="1">O14/(J14+10^-12)</f>
        <v>0</v>
      </c>
      <c r="S11" s="29"/>
      <c r="T11" s="141" t="s">
        <v>2</v>
      </c>
      <c r="U11" s="142">
        <f ca="1">U14-U13-U12</f>
        <v>0</v>
      </c>
      <c r="V11" s="142">
        <f ca="1">V14-V13-V12</f>
        <v>0</v>
      </c>
      <c r="W11" s="143"/>
      <c r="Y11" s="142"/>
      <c r="Z11" s="142"/>
    </row>
    <row r="12" spans="1:26" s="4" customFormat="1" ht="12" customHeight="1">
      <c r="B12" s="168"/>
      <c r="C12" s="160"/>
      <c r="D12" s="162"/>
      <c r="E12" s="203"/>
      <c r="F12" s="405"/>
      <c r="G12" s="406"/>
      <c r="H12" s="401" t="s">
        <v>135</v>
      </c>
      <c r="I12" s="402"/>
      <c r="J12" s="130">
        <f ca="1">QCI!M9</f>
        <v>90.39</v>
      </c>
      <c r="K12" s="149">
        <v>0</v>
      </c>
      <c r="L12" s="131">
        <f ca="1">ROUND(O12,2)-ROUND(K12,2)</f>
        <v>0</v>
      </c>
      <c r="M12" s="427"/>
      <c r="N12" s="427"/>
      <c r="O12" s="136">
        <f ca="1">$U12</f>
        <v>0</v>
      </c>
      <c r="P12" s="424"/>
      <c r="S12" s="29"/>
      <c r="T12" s="141" t="s">
        <v>286</v>
      </c>
      <c r="U12" s="142">
        <f ca="1">IF($U$14&lt;$K$14,$V12,IF($V12&lt;$K12,$K12,IF($V$11&lt;$K$11,$U$14-$U$13-$K$11,$V12)))</f>
        <v>0</v>
      </c>
      <c r="V12" s="142">
        <f ca="1">ROUND(SUMIF($T$14:$T$27,TRUE,$M$14:$M$27),2)</f>
        <v>0</v>
      </c>
      <c r="W12" s="143"/>
      <c r="Y12" s="142">
        <f>$K12</f>
        <v>0</v>
      </c>
      <c r="Z12" s="142">
        <f ca="1">$U12</f>
        <v>0</v>
      </c>
    </row>
    <row r="13" spans="1:26" s="4" customFormat="1" ht="12" customHeight="1">
      <c r="B13" s="168"/>
      <c r="C13" s="160"/>
      <c r="D13" s="162"/>
      <c r="E13" s="203"/>
      <c r="F13" s="405"/>
      <c r="G13" s="406"/>
      <c r="H13" s="397" t="str">
        <f>CONCATENATE(QCI!$N$5," (R$)")</f>
        <v>Contrapartida Física (R$)</v>
      </c>
      <c r="I13" s="398"/>
      <c r="J13" s="132">
        <f ca="1">QCI!N9</f>
        <v>0</v>
      </c>
      <c r="K13" s="150">
        <v>0</v>
      </c>
      <c r="L13" s="133">
        <f ca="1">ROUND(O13,2)-ROUND(K13,2)</f>
        <v>0</v>
      </c>
      <c r="M13" s="427"/>
      <c r="N13" s="427"/>
      <c r="O13" s="137">
        <f ca="1">U13</f>
        <v>0</v>
      </c>
      <c r="P13" s="424"/>
      <c r="S13" s="29"/>
      <c r="T13" s="141" t="s">
        <v>287</v>
      </c>
      <c r="U13" s="142">
        <f ca="1">V13</f>
        <v>0</v>
      </c>
      <c r="V13" s="142">
        <f ca="1">ROUND(SUMIF($T$14:$T$27,TRUE,$N$14:$N$27),2)</f>
        <v>0</v>
      </c>
      <c r="W13" s="143"/>
      <c r="Y13" s="142"/>
      <c r="Z13" s="142"/>
    </row>
    <row r="14" spans="1:26" s="4" customFormat="1" ht="12" customHeight="1" thickBot="1">
      <c r="B14" s="170" t="s">
        <v>163</v>
      </c>
      <c r="C14" s="173"/>
      <c r="D14" s="172"/>
      <c r="E14" s="204"/>
      <c r="F14" s="407"/>
      <c r="G14" s="408"/>
      <c r="H14" s="399" t="s">
        <v>128</v>
      </c>
      <c r="I14" s="400"/>
      <c r="J14" s="134">
        <f ca="1">QCI!O9</f>
        <v>225977.29</v>
      </c>
      <c r="K14" s="151">
        <f ca="1">ROUND(SUMIF($T$14:$T$27,TRUE,K$14:K$27),2)</f>
        <v>0</v>
      </c>
      <c r="L14" s="135">
        <f ca="1">ROUND(O14,2)-ROUND(K14,2)</f>
        <v>0</v>
      </c>
      <c r="M14" s="428"/>
      <c r="N14" s="428"/>
      <c r="O14" s="135">
        <f ca="1">U14</f>
        <v>0</v>
      </c>
      <c r="P14" s="425"/>
      <c r="S14" s="29"/>
      <c r="T14" s="141" t="s">
        <v>288</v>
      </c>
      <c r="U14" s="142">
        <f ca="1">V14</f>
        <v>0</v>
      </c>
      <c r="V14" s="142">
        <f ca="1">ROUND(SUMIF($T$14:$T$27,TRUE,V$14:V$27),2)</f>
        <v>0</v>
      </c>
      <c r="W14" s="143"/>
      <c r="Y14" s="142"/>
      <c r="Z14" s="142"/>
    </row>
    <row r="15" spans="1:26" s="18" customFormat="1" ht="25.5" customHeight="1">
      <c r="A15" s="44"/>
      <c r="B15" s="245">
        <f>QCI!B10</f>
        <v>1</v>
      </c>
      <c r="C15" s="246" t="str">
        <f>QCI!C10</f>
        <v>Meta</v>
      </c>
      <c r="D15" s="246" t="str">
        <f ca="1">QCI!D10</f>
        <v>1.</v>
      </c>
      <c r="E15" s="289" t="str">
        <f>QCI!G10</f>
        <v>REFORMA DO PAVILHÃO DAS ARTES</v>
      </c>
      <c r="F15" s="247" t="str">
        <f>QCI!H10</f>
        <v>Em Análise</v>
      </c>
      <c r="G15" s="248">
        <f>QCI!I10</f>
        <v>0</v>
      </c>
      <c r="H15" s="249" t="str">
        <f ca="1">QCI!J10</f>
        <v>m²</v>
      </c>
      <c r="I15" s="247" t="str">
        <f ca="1">IF($T15,QCI!K10,"")</f>
        <v/>
      </c>
      <c r="J15" s="250">
        <f ca="1">QCI!O10</f>
        <v>225977.29</v>
      </c>
      <c r="K15" s="251">
        <v>0</v>
      </c>
      <c r="L15" s="250">
        <f t="shared" ref="L15:L21" ca="1" si="0">IF($T15,ROUND(V15,2)-ROUND(K15,2),0)</f>
        <v>0</v>
      </c>
      <c r="M15" s="252">
        <f ca="1">ROUND($V15/$J15*QCI!M10,2)</f>
        <v>0</v>
      </c>
      <c r="N15" s="252">
        <f ca="1">ROUND($V15/$J15*QCI!N10,2)</f>
        <v>0</v>
      </c>
      <c r="O15" s="253">
        <v>0</v>
      </c>
      <c r="P15" s="254">
        <f t="shared" ref="P15:P21" ca="1" si="1">IF(OR($F15="Licitado / em execução",$F15="Concluído"),IF(T15,V15/($J15+10^-12),SUM(OFFSET(V15,1,0,$S15))/(SUM(OFFSET(J15,1,0,$S15))+10^-12)),0)</f>
        <v>0</v>
      </c>
      <c r="Q15" s="44"/>
      <c r="R15" s="44"/>
      <c r="S15" s="144">
        <f ca="1">QCI!U10</f>
        <v>11</v>
      </c>
      <c r="T15" s="144" t="b">
        <f ca="1">AND(QCI!V10,OR($F15="Licitado / em execução",$F15="Concluído"))</f>
        <v>0</v>
      </c>
      <c r="U15" s="144"/>
      <c r="V15" s="145">
        <f ca="1">IF($T15,$O15,0)</f>
        <v>0</v>
      </c>
      <c r="W15" s="146">
        <f ca="1">IF(AND(COUNTIF($I$9:$I15,$I15)=1,$I15&lt;&gt;"Adm. Direta",$L15&gt;0,$T15),OFFSET(W15,-1,0)+1,OFFSET(W15,-1,0))</f>
        <v>0</v>
      </c>
      <c r="Y15" s="145">
        <f t="shared" ref="Y15:Y26" si="2">$K15</f>
        <v>0</v>
      </c>
      <c r="Z15" s="145">
        <f t="shared" ref="Z15:Z26" ca="1" si="3">$V15</f>
        <v>0</v>
      </c>
    </row>
    <row r="16" spans="1:26" s="18" customFormat="1" ht="25.5" customHeight="1">
      <c r="A16" s="44"/>
      <c r="B16" s="255">
        <f>QCI!B11</f>
        <v>1</v>
      </c>
      <c r="C16" s="176" t="str">
        <f>QCI!C11</f>
        <v>Sub-Meta</v>
      </c>
      <c r="D16" s="176" t="str">
        <f ca="1">QCI!D11</f>
        <v>1.1</v>
      </c>
      <c r="E16" s="290" t="str">
        <f>QCI!G11</f>
        <v>Serviços de escritório, laboratório e campo</v>
      </c>
      <c r="F16" s="256" t="str">
        <f>QCI!H11</f>
        <v>Em Análise</v>
      </c>
      <c r="G16" s="213">
        <f>QCI!I11</f>
        <v>0</v>
      </c>
      <c r="H16" s="257" t="e">
        <f ca="1">QCI!J11</f>
        <v>#N/A</v>
      </c>
      <c r="I16" s="256" t="str">
        <f ca="1">IF($T16,QCI!K11,"")</f>
        <v/>
      </c>
      <c r="J16" s="258">
        <f>QCI!O11</f>
        <v>6424.8</v>
      </c>
      <c r="K16" s="259">
        <v>0</v>
      </c>
      <c r="L16" s="258">
        <f t="shared" ca="1" si="0"/>
        <v>0</v>
      </c>
      <c r="M16" s="260">
        <f ca="1">ROUND($V16/$J16*QCI!M11,2)</f>
        <v>0</v>
      </c>
      <c r="N16" s="260">
        <f ca="1">ROUND($V16/$J16*QCI!N11,2)</f>
        <v>0</v>
      </c>
      <c r="O16" s="261">
        <v>0</v>
      </c>
      <c r="P16" s="262">
        <f t="shared" ca="1" si="1"/>
        <v>0</v>
      </c>
      <c r="Q16" s="44"/>
      <c r="R16" s="44"/>
      <c r="S16" s="144">
        <f ca="1">QCI!U11</f>
        <v>0</v>
      </c>
      <c r="T16" s="144" t="b">
        <f ca="1">AND(QCI!V11,OR($F16="Licitado / em execução",$F16="Concluído"))</f>
        <v>0</v>
      </c>
      <c r="U16" s="144"/>
      <c r="V16" s="145">
        <f t="shared" ref="V16:V26" ca="1" si="4">IF($T16,$O16,0)</f>
        <v>0</v>
      </c>
      <c r="W16" s="146">
        <f ca="1">IF(AND(COUNTIF($I$9:$I16,$I16)=1,$I16&lt;&gt;"Adm. Direta",$L16&gt;0,$T16),OFFSET(W16,-1,0)+1,OFFSET(W16,-1,0))</f>
        <v>0</v>
      </c>
      <c r="Y16" s="145">
        <f t="shared" si="2"/>
        <v>0</v>
      </c>
      <c r="Z16" s="145">
        <f t="shared" ca="1" si="3"/>
        <v>0</v>
      </c>
    </row>
    <row r="17" spans="1:26" s="18" customFormat="1" ht="25.5" customHeight="1">
      <c r="A17" s="44"/>
      <c r="B17" s="255">
        <f>QCI!B12</f>
        <v>1</v>
      </c>
      <c r="C17" s="176" t="str">
        <f>QCI!C12</f>
        <v>Sub-Meta</v>
      </c>
      <c r="D17" s="176" t="str">
        <f ca="1">QCI!D12</f>
        <v>1.2</v>
      </c>
      <c r="E17" s="290" t="str">
        <f>QCI!G12</f>
        <v>Demolições</v>
      </c>
      <c r="F17" s="256" t="str">
        <f>QCI!H12</f>
        <v>Em Análise</v>
      </c>
      <c r="G17" s="213">
        <f>QCI!I12</f>
        <v>0</v>
      </c>
      <c r="H17" s="257" t="e">
        <f ca="1">QCI!J12</f>
        <v>#N/A</v>
      </c>
      <c r="I17" s="256" t="str">
        <f ca="1">IF($T17,QCI!K12,"")</f>
        <v/>
      </c>
      <c r="J17" s="258">
        <f>QCI!O12</f>
        <v>4250.91</v>
      </c>
      <c r="K17" s="259">
        <v>0</v>
      </c>
      <c r="L17" s="258">
        <f t="shared" ca="1" si="0"/>
        <v>0</v>
      </c>
      <c r="M17" s="260">
        <f ca="1">ROUND($V17/$J17*QCI!M12,2)</f>
        <v>0</v>
      </c>
      <c r="N17" s="260">
        <f ca="1">ROUND($V17/$J17*QCI!N12,2)</f>
        <v>0</v>
      </c>
      <c r="O17" s="261">
        <v>0</v>
      </c>
      <c r="P17" s="262">
        <f t="shared" ca="1" si="1"/>
        <v>0</v>
      </c>
      <c r="Q17" s="44"/>
      <c r="R17" s="44"/>
      <c r="S17" s="144">
        <f ca="1">QCI!U12</f>
        <v>0</v>
      </c>
      <c r="T17" s="144" t="b">
        <f ca="1">AND(QCI!V12,OR($F17="Licitado / em execução",$F17="Concluído"))</f>
        <v>0</v>
      </c>
      <c r="U17" s="144"/>
      <c r="V17" s="145">
        <f t="shared" ca="1" si="4"/>
        <v>0</v>
      </c>
      <c r="W17" s="146">
        <f ca="1">IF(AND(COUNTIF($I$9:$I17,$I17)=1,$I17&lt;&gt;"Adm. Direta",$L17&gt;0,$T17),OFFSET(W17,-1,0)+1,OFFSET(W17,-1,0))</f>
        <v>0</v>
      </c>
      <c r="Y17" s="145">
        <f t="shared" si="2"/>
        <v>0</v>
      </c>
      <c r="Z17" s="145">
        <f t="shared" ca="1" si="3"/>
        <v>0</v>
      </c>
    </row>
    <row r="18" spans="1:26" s="18" customFormat="1" ht="25.5" customHeight="1">
      <c r="A18" s="44"/>
      <c r="B18" s="255">
        <f>QCI!B13</f>
        <v>1</v>
      </c>
      <c r="C18" s="176" t="str">
        <f>QCI!C13</f>
        <v>Sub-Meta</v>
      </c>
      <c r="D18" s="176" t="str">
        <f ca="1">QCI!D13</f>
        <v>1.3</v>
      </c>
      <c r="E18" s="290" t="str">
        <f>QCI!G13</f>
        <v>Movimento de Terra</v>
      </c>
      <c r="F18" s="256" t="str">
        <f>QCI!H13</f>
        <v>Em Análise</v>
      </c>
      <c r="G18" s="213">
        <f>QCI!I13</f>
        <v>0</v>
      </c>
      <c r="H18" s="257" t="e">
        <f ca="1">QCI!J13</f>
        <v>#N/A</v>
      </c>
      <c r="I18" s="256" t="str">
        <f ca="1">IF($T18,QCI!K13,"")</f>
        <v/>
      </c>
      <c r="J18" s="258">
        <f>QCI!O13</f>
        <v>0</v>
      </c>
      <c r="K18" s="259">
        <v>0</v>
      </c>
      <c r="L18" s="258">
        <f t="shared" ca="1" si="0"/>
        <v>0</v>
      </c>
      <c r="M18" s="260" t="e">
        <f ca="1">ROUND($V18/$J18*QCI!M13,2)</f>
        <v>#DIV/0!</v>
      </c>
      <c r="N18" s="260" t="e">
        <f ca="1">ROUND($V18/$J18*QCI!N13,2)</f>
        <v>#DIV/0!</v>
      </c>
      <c r="O18" s="261">
        <v>0</v>
      </c>
      <c r="P18" s="262">
        <f t="shared" ca="1" si="1"/>
        <v>0</v>
      </c>
      <c r="Q18" s="44"/>
      <c r="R18" s="44"/>
      <c r="S18" s="144">
        <f ca="1">QCI!U13</f>
        <v>0</v>
      </c>
      <c r="T18" s="144" t="b">
        <f ca="1">AND(QCI!V13,OR($F18="Licitado / em execução",$F18="Concluído"))</f>
        <v>0</v>
      </c>
      <c r="U18" s="144"/>
      <c r="V18" s="145">
        <f t="shared" ca="1" si="4"/>
        <v>0</v>
      </c>
      <c r="W18" s="146">
        <f ca="1">IF(AND(COUNTIF($I$9:$I18,$I18)=1,$I18&lt;&gt;"Adm. Direta",$L18&gt;0,$T18),OFFSET(W18,-1,0)+1,OFFSET(W18,-1,0))</f>
        <v>0</v>
      </c>
      <c r="Y18" s="145">
        <f t="shared" si="2"/>
        <v>0</v>
      </c>
      <c r="Z18" s="145">
        <f t="shared" ca="1" si="3"/>
        <v>0</v>
      </c>
    </row>
    <row r="19" spans="1:26" s="18" customFormat="1" ht="25.5" customHeight="1">
      <c r="A19" s="44"/>
      <c r="B19" s="255">
        <f>QCI!B14</f>
        <v>1</v>
      </c>
      <c r="C19" s="176" t="str">
        <f>QCI!C14</f>
        <v>Sub-Meta</v>
      </c>
      <c r="D19" s="176" t="str">
        <f ca="1">QCI!D14</f>
        <v>1.4</v>
      </c>
      <c r="E19" s="290" t="str">
        <f>QCI!G14</f>
        <v>Estrutura</v>
      </c>
      <c r="F19" s="256" t="str">
        <f>QCI!H14</f>
        <v>Em Análise</v>
      </c>
      <c r="G19" s="213">
        <f>QCI!I14</f>
        <v>0</v>
      </c>
      <c r="H19" s="257" t="e">
        <f ca="1">QCI!J14</f>
        <v>#N/A</v>
      </c>
      <c r="I19" s="256" t="str">
        <f ca="1">IF($T19,QCI!K14,"")</f>
        <v/>
      </c>
      <c r="J19" s="258">
        <f>QCI!O14</f>
        <v>0</v>
      </c>
      <c r="K19" s="259">
        <v>0</v>
      </c>
      <c r="L19" s="258">
        <f t="shared" ca="1" si="0"/>
        <v>0</v>
      </c>
      <c r="M19" s="260" t="e">
        <f ca="1">ROUND($V19/$J19*QCI!M14,2)</f>
        <v>#DIV/0!</v>
      </c>
      <c r="N19" s="260" t="e">
        <f ca="1">ROUND($V19/$J19*QCI!N14,2)</f>
        <v>#DIV/0!</v>
      </c>
      <c r="O19" s="261">
        <v>0</v>
      </c>
      <c r="P19" s="262">
        <f t="shared" ca="1" si="1"/>
        <v>0</v>
      </c>
      <c r="Q19" s="44"/>
      <c r="R19" s="44"/>
      <c r="S19" s="144">
        <f ca="1">QCI!U14</f>
        <v>0</v>
      </c>
      <c r="T19" s="144" t="b">
        <f ca="1">AND(QCI!V14,OR($F19="Licitado / em execução",$F19="Concluído"))</f>
        <v>0</v>
      </c>
      <c r="U19" s="144"/>
      <c r="V19" s="145">
        <f t="shared" ca="1" si="4"/>
        <v>0</v>
      </c>
      <c r="W19" s="146">
        <f ca="1">IF(AND(COUNTIF($I$9:$I19,$I19)=1,$I19&lt;&gt;"Adm. Direta",$L19&gt;0,$T19),OFFSET(W19,-1,0)+1,OFFSET(W19,-1,0))</f>
        <v>0</v>
      </c>
      <c r="Y19" s="145">
        <f t="shared" si="2"/>
        <v>0</v>
      </c>
      <c r="Z19" s="145">
        <f t="shared" ca="1" si="3"/>
        <v>0</v>
      </c>
    </row>
    <row r="20" spans="1:26" s="18" customFormat="1" ht="25.5" customHeight="1">
      <c r="A20" s="44"/>
      <c r="B20" s="255">
        <f>QCI!B15</f>
        <v>1</v>
      </c>
      <c r="C20" s="176" t="str">
        <f>QCI!C15</f>
        <v>Sub-Meta</v>
      </c>
      <c r="D20" s="176" t="str">
        <f ca="1">QCI!D15</f>
        <v>1.5</v>
      </c>
      <c r="E20" s="290" t="str">
        <f>QCI!G15</f>
        <v>Alvenaria / Revestimento / Pavimentação</v>
      </c>
      <c r="F20" s="256" t="str">
        <f>QCI!H15</f>
        <v>Em Análise</v>
      </c>
      <c r="G20" s="213">
        <f>QCI!I15</f>
        <v>0</v>
      </c>
      <c r="H20" s="257" t="e">
        <f ca="1">QCI!J15</f>
        <v>#N/A</v>
      </c>
      <c r="I20" s="256" t="str">
        <f ca="1">IF($T20,QCI!K15,"")</f>
        <v/>
      </c>
      <c r="J20" s="258">
        <f>QCI!O15</f>
        <v>77831.02</v>
      </c>
      <c r="K20" s="259">
        <v>0</v>
      </c>
      <c r="L20" s="258">
        <f t="shared" ca="1" si="0"/>
        <v>0</v>
      </c>
      <c r="M20" s="260">
        <f ca="1">ROUND($V20/$J20*QCI!M15,2)</f>
        <v>0</v>
      </c>
      <c r="N20" s="260">
        <f ca="1">ROUND($V20/$J20*QCI!N15,2)</f>
        <v>0</v>
      </c>
      <c r="O20" s="261">
        <v>0</v>
      </c>
      <c r="P20" s="262">
        <f t="shared" ca="1" si="1"/>
        <v>0</v>
      </c>
      <c r="Q20" s="44"/>
      <c r="R20" s="44"/>
      <c r="S20" s="144">
        <f ca="1">QCI!U15</f>
        <v>0</v>
      </c>
      <c r="T20" s="144" t="b">
        <f ca="1">AND(QCI!V15,OR($F20="Licitado / em execução",$F20="Concluído"))</f>
        <v>0</v>
      </c>
      <c r="U20" s="144"/>
      <c r="V20" s="145">
        <f t="shared" ca="1" si="4"/>
        <v>0</v>
      </c>
      <c r="W20" s="146">
        <f ca="1">IF(AND(COUNTIF($I$9:$I20,$I20)=1,$I20&lt;&gt;"Adm. Direta",$L20&gt;0,$T20),OFFSET(W20,-1,0)+1,OFFSET(W20,-1,0))</f>
        <v>0</v>
      </c>
      <c r="Y20" s="145">
        <f t="shared" si="2"/>
        <v>0</v>
      </c>
      <c r="Z20" s="145">
        <f t="shared" ca="1" si="3"/>
        <v>0</v>
      </c>
    </row>
    <row r="21" spans="1:26" s="18" customFormat="1" ht="25.5" customHeight="1">
      <c r="A21" s="44"/>
      <c r="B21" s="255">
        <f>QCI!B16</f>
        <v>1</v>
      </c>
      <c r="C21" s="176" t="str">
        <f>QCI!C16</f>
        <v>Sub-Meta</v>
      </c>
      <c r="D21" s="176" t="str">
        <f ca="1">QCI!D16</f>
        <v>1.6</v>
      </c>
      <c r="E21" s="290" t="str">
        <f>QCI!G16</f>
        <v>Cobertura</v>
      </c>
      <c r="F21" s="256" t="str">
        <f>QCI!H16</f>
        <v>Em Análise</v>
      </c>
      <c r="G21" s="213">
        <f>QCI!I16</f>
        <v>0</v>
      </c>
      <c r="H21" s="257" t="e">
        <f ca="1">QCI!J16</f>
        <v>#N/A</v>
      </c>
      <c r="I21" s="256" t="str">
        <f ca="1">IF($T21,QCI!K16,"")</f>
        <v/>
      </c>
      <c r="J21" s="258">
        <f>QCI!O16</f>
        <v>0</v>
      </c>
      <c r="K21" s="259">
        <v>0</v>
      </c>
      <c r="L21" s="258">
        <f t="shared" ca="1" si="0"/>
        <v>0</v>
      </c>
      <c r="M21" s="260" t="e">
        <f ca="1">ROUND($V21/$J21*QCI!M16,2)</f>
        <v>#DIV/0!</v>
      </c>
      <c r="N21" s="260" t="e">
        <f ca="1">ROUND($V21/$J21*QCI!N16,2)</f>
        <v>#DIV/0!</v>
      </c>
      <c r="O21" s="261">
        <v>0</v>
      </c>
      <c r="P21" s="262">
        <f t="shared" ca="1" si="1"/>
        <v>0</v>
      </c>
      <c r="Q21" s="44"/>
      <c r="R21" s="44"/>
      <c r="S21" s="144">
        <f ca="1">QCI!U16</f>
        <v>0</v>
      </c>
      <c r="T21" s="144" t="b">
        <f ca="1">AND(QCI!V16,OR($F21="Licitado / em execução",$F21="Concluído"))</f>
        <v>0</v>
      </c>
      <c r="U21" s="144"/>
      <c r="V21" s="145">
        <f t="shared" ca="1" si="4"/>
        <v>0</v>
      </c>
      <c r="W21" s="146">
        <f ca="1">IF(AND(COUNTIF($I$9:$I21,$I21)=1,$I21&lt;&gt;"Adm. Direta",$L21&gt;0,$T21),OFFSET(W21,-1,0)+1,OFFSET(W21,-1,0))</f>
        <v>0</v>
      </c>
      <c r="Y21" s="145">
        <f t="shared" si="2"/>
        <v>0</v>
      </c>
      <c r="Z21" s="145">
        <f t="shared" ca="1" si="3"/>
        <v>0</v>
      </c>
    </row>
    <row r="22" spans="1:26" s="18" customFormat="1" ht="25.5" customHeight="1">
      <c r="A22" s="44"/>
      <c r="B22" s="263">
        <f>QCI!B17</f>
        <v>1</v>
      </c>
      <c r="C22" s="192" t="str">
        <f>QCI!C17</f>
        <v>Sub-Meta</v>
      </c>
      <c r="D22" s="192" t="str">
        <f ca="1">QCI!D17</f>
        <v>1.7</v>
      </c>
      <c r="E22" s="291" t="str">
        <f>QCI!G17</f>
        <v>Esquadrias</v>
      </c>
      <c r="F22" s="264" t="str">
        <f>QCI!H17</f>
        <v>Em Análise</v>
      </c>
      <c r="G22" s="265">
        <f>QCI!I17</f>
        <v>0</v>
      </c>
      <c r="H22" s="266" t="e">
        <f ca="1">QCI!J17</f>
        <v>#N/A</v>
      </c>
      <c r="I22" s="264" t="str">
        <f ca="1">IF($T22,QCI!K17,"")</f>
        <v/>
      </c>
      <c r="J22" s="267">
        <f>QCI!O17</f>
        <v>26493.57</v>
      </c>
      <c r="K22" s="259">
        <v>0</v>
      </c>
      <c r="L22" s="258">
        <f ca="1">IF($T22,ROUND(V22,2)-ROUND(K22,2),0)</f>
        <v>0</v>
      </c>
      <c r="M22" s="268">
        <f ca="1">ROUND($V22/$J22*QCI!M17,2)</f>
        <v>0</v>
      </c>
      <c r="N22" s="268">
        <f ca="1">ROUND($V22/$J22*QCI!N17,2)</f>
        <v>0</v>
      </c>
      <c r="O22" s="269">
        <v>0</v>
      </c>
      <c r="P22" s="270">
        <f ca="1">IF(OR($F22="Licitado / em execução",$F22="Concluído"),IF(T22,V22/($J22+10^-12),SUM(OFFSET(V22,1,0,$S22))/(SUM(OFFSET(J22,1,0,$S22))+10^-12)),0)</f>
        <v>0</v>
      </c>
      <c r="Q22" s="44"/>
      <c r="R22" s="44"/>
      <c r="S22" s="144">
        <f ca="1">QCI!U17</f>
        <v>0</v>
      </c>
      <c r="T22" s="144" t="b">
        <f ca="1">AND(QCI!V17,OR($F22="Licitado / em execução",$F22="Concluído"))</f>
        <v>0</v>
      </c>
      <c r="U22" s="144"/>
      <c r="V22" s="145">
        <f t="shared" ca="1" si="4"/>
        <v>0</v>
      </c>
      <c r="W22" s="146">
        <f ca="1">IF(AND(COUNTIF($I$9:$I22,$I22)=1,$I22&lt;&gt;"Adm. Direta",$L22&gt;0,$T22),OFFSET(W22,-1,0)+1,OFFSET(W22,-1,0))</f>
        <v>0</v>
      </c>
      <c r="Y22" s="145">
        <f t="shared" si="2"/>
        <v>0</v>
      </c>
      <c r="Z22" s="145">
        <f t="shared" ca="1" si="3"/>
        <v>0</v>
      </c>
    </row>
    <row r="23" spans="1:26" s="18" customFormat="1" ht="25.5" customHeight="1">
      <c r="A23" s="44"/>
      <c r="B23" s="263">
        <f>QCI!B18</f>
        <v>1</v>
      </c>
      <c r="C23" s="192" t="str">
        <f>QCI!C18</f>
        <v>Sub-Meta</v>
      </c>
      <c r="D23" s="192" t="str">
        <f ca="1">QCI!D18</f>
        <v>1.8</v>
      </c>
      <c r="E23" s="291" t="str">
        <f>QCI!G18</f>
        <v>Instalações Hidrálicas e Sanitárias</v>
      </c>
      <c r="F23" s="264" t="str">
        <f>QCI!H18</f>
        <v>Em Análise</v>
      </c>
      <c r="G23" s="265">
        <f>QCI!I18</f>
        <v>0</v>
      </c>
      <c r="H23" s="266" t="e">
        <f ca="1">QCI!J18</f>
        <v>#N/A</v>
      </c>
      <c r="I23" s="264" t="str">
        <f ca="1">IF($T23,QCI!K18,"")</f>
        <v/>
      </c>
      <c r="J23" s="267">
        <f>QCI!O18</f>
        <v>28019.91</v>
      </c>
      <c r="K23" s="259">
        <v>0</v>
      </c>
      <c r="L23" s="258">
        <f ca="1">IF($T23,ROUND(V23,2)-ROUND(K23,2),0)</f>
        <v>0</v>
      </c>
      <c r="M23" s="268">
        <f ca="1">ROUND($V23/$J23*QCI!M18,2)</f>
        <v>0</v>
      </c>
      <c r="N23" s="268">
        <f ca="1">ROUND($V23/$J23*QCI!N18,2)</f>
        <v>0</v>
      </c>
      <c r="O23" s="269">
        <v>0</v>
      </c>
      <c r="P23" s="270">
        <f ca="1">IF(OR($F23="Licitado / em execução",$F23="Concluído"),IF(T23,V23/($J23+10^-12),SUM(OFFSET(V23,1,0,$S23))/(SUM(OFFSET(J23,1,0,$S23))+10^-12)),0)</f>
        <v>0</v>
      </c>
      <c r="Q23" s="44"/>
      <c r="R23" s="44"/>
      <c r="S23" s="144">
        <f ca="1">QCI!U18</f>
        <v>0</v>
      </c>
      <c r="T23" s="144" t="b">
        <f ca="1">AND(QCI!V18,OR($F23="Licitado / em execução",$F23="Concluído"))</f>
        <v>0</v>
      </c>
      <c r="U23" s="144"/>
      <c r="V23" s="145">
        <f t="shared" ca="1" si="4"/>
        <v>0</v>
      </c>
      <c r="W23" s="146">
        <f ca="1">IF(AND(COUNTIF($I$9:$I23,$I23)=1,$I23&lt;&gt;"Adm. Direta",$L23&gt;0,$T23),OFFSET(W23,-1,0)+1,OFFSET(W23,-1,0))</f>
        <v>0</v>
      </c>
      <c r="Y23" s="145">
        <f t="shared" si="2"/>
        <v>0</v>
      </c>
      <c r="Z23" s="145">
        <f t="shared" ca="1" si="3"/>
        <v>0</v>
      </c>
    </row>
    <row r="24" spans="1:26" s="18" customFormat="1" ht="25.5" customHeight="1">
      <c r="A24" s="44"/>
      <c r="B24" s="263">
        <f>QCI!B19</f>
        <v>1</v>
      </c>
      <c r="C24" s="192" t="str">
        <f>QCI!C19</f>
        <v>Sub-Meta</v>
      </c>
      <c r="D24" s="192" t="str">
        <f ca="1">QCI!D19</f>
        <v>1.9</v>
      </c>
      <c r="E24" s="291" t="str">
        <f>QCI!G19</f>
        <v>Instalações Elétricas</v>
      </c>
      <c r="F24" s="264" t="str">
        <f>QCI!H19</f>
        <v>Em Análise</v>
      </c>
      <c r="G24" s="265">
        <f>QCI!I19</f>
        <v>0</v>
      </c>
      <c r="H24" s="266" t="e">
        <f ca="1">QCI!J19</f>
        <v>#N/A</v>
      </c>
      <c r="I24" s="264" t="str">
        <f ca="1">IF($T24,QCI!K19,"")</f>
        <v/>
      </c>
      <c r="J24" s="267">
        <f>QCI!O19</f>
        <v>16111.09</v>
      </c>
      <c r="K24" s="259">
        <v>0</v>
      </c>
      <c r="L24" s="258">
        <f ca="1">IF($T24,ROUND(V24,2)-ROUND(K24,2),0)</f>
        <v>0</v>
      </c>
      <c r="M24" s="268">
        <f ca="1">ROUND($V24/$J24*QCI!M19,2)</f>
        <v>0</v>
      </c>
      <c r="N24" s="268">
        <f ca="1">ROUND($V24/$J24*QCI!N19,2)</f>
        <v>0</v>
      </c>
      <c r="O24" s="269">
        <v>0</v>
      </c>
      <c r="P24" s="270">
        <f ca="1">IF(OR($F24="Licitado / em execução",$F24="Concluído"),IF(T24,V24/($J24+10^-12),SUM(OFFSET(V24,1,0,$S24))/(SUM(OFFSET(J24,1,0,$S24))+10^-12)),0)</f>
        <v>0</v>
      </c>
      <c r="Q24" s="44"/>
      <c r="R24" s="44"/>
      <c r="S24" s="144">
        <f ca="1">QCI!U19</f>
        <v>0</v>
      </c>
      <c r="T24" s="144" t="b">
        <f ca="1">AND(QCI!V19,OR($F24="Licitado / em execução",$F24="Concluído"))</f>
        <v>0</v>
      </c>
      <c r="U24" s="144"/>
      <c r="V24" s="145">
        <f t="shared" ca="1" si="4"/>
        <v>0</v>
      </c>
      <c r="W24" s="146">
        <f ca="1">IF(AND(COUNTIF($I$9:$I24,$I24)=1,$I24&lt;&gt;"Adm. Direta",$L24&gt;0,$T24),OFFSET(W24,-1,0)+1,OFFSET(W24,-1,0))</f>
        <v>0</v>
      </c>
      <c r="Y24" s="145">
        <f t="shared" si="2"/>
        <v>0</v>
      </c>
      <c r="Z24" s="145">
        <f t="shared" ca="1" si="3"/>
        <v>0</v>
      </c>
    </row>
    <row r="25" spans="1:26" s="18" customFormat="1" ht="25.5" customHeight="1">
      <c r="A25" s="44"/>
      <c r="B25" s="263">
        <f>QCI!B20</f>
        <v>1</v>
      </c>
      <c r="C25" s="310" t="str">
        <f>QCI!C20</f>
        <v>Sub-Meta</v>
      </c>
      <c r="D25" s="310" t="str">
        <f ca="1">QCI!D20</f>
        <v>1.10</v>
      </c>
      <c r="E25" s="291" t="str">
        <f>QCI!G20</f>
        <v>Instalações Especiais</v>
      </c>
      <c r="F25" s="264" t="str">
        <f>QCI!H20</f>
        <v>Em Análise</v>
      </c>
      <c r="G25" s="265">
        <f>QCI!I20</f>
        <v>0</v>
      </c>
      <c r="H25" s="266" t="e">
        <f ca="1">QCI!J20</f>
        <v>#N/A</v>
      </c>
      <c r="I25" s="264" t="str">
        <f ca="1">IF($T25,QCI!K20,"")</f>
        <v/>
      </c>
      <c r="J25" s="267">
        <f>QCI!O20</f>
        <v>45718.43</v>
      </c>
      <c r="K25" s="259">
        <v>0</v>
      </c>
      <c r="L25" s="258">
        <f ca="1">IF($T25,ROUND(V25,2)-ROUND(K25,2),0)</f>
        <v>0</v>
      </c>
      <c r="M25" s="268">
        <f ca="1">ROUND($V25/$J25*QCI!M20,2)</f>
        <v>0</v>
      </c>
      <c r="N25" s="268">
        <f ca="1">ROUND($V25/$J25*QCI!N20,2)</f>
        <v>0</v>
      </c>
      <c r="O25" s="269">
        <v>0</v>
      </c>
      <c r="P25" s="270">
        <f ca="1">IF(OR($F25="Licitado / em execução",$F25="Concluído"),IF(T25,V25/($J25+10^-12),SUM(OFFSET(V25,1,0,$S25))/(SUM(OFFSET(J25,1,0,$S25))+10^-12)),0)</f>
        <v>0</v>
      </c>
      <c r="Q25" s="44"/>
      <c r="R25" s="44"/>
      <c r="S25" s="144">
        <f ca="1">QCI!U20</f>
        <v>0</v>
      </c>
      <c r="T25" s="144" t="b">
        <f ca="1">AND(QCI!V20,OR($F25="Licitado / em execução",$F25="Concluído"))</f>
        <v>0</v>
      </c>
      <c r="U25" s="144"/>
      <c r="V25" s="145">
        <f t="shared" ca="1" si="4"/>
        <v>0</v>
      </c>
      <c r="W25" s="146">
        <f ca="1">IF(AND(COUNTIF($I$9:$I25,$I25)=1,$I25&lt;&gt;"Adm. Direta",$L25&gt;0,$T25),OFFSET(W25,-1,0)+1,OFFSET(W25,-1,0))</f>
        <v>0</v>
      </c>
      <c r="Y25" s="145">
        <f t="shared" si="2"/>
        <v>0</v>
      </c>
      <c r="Z25" s="145">
        <f t="shared" ca="1" si="3"/>
        <v>0</v>
      </c>
    </row>
    <row r="26" spans="1:26" s="18" customFormat="1" ht="25.5" customHeight="1" thickBot="1">
      <c r="A26" s="44"/>
      <c r="B26" s="263">
        <f>QCI!B21</f>
        <v>1</v>
      </c>
      <c r="C26" s="310" t="str">
        <f>QCI!C21</f>
        <v>Sub-Meta</v>
      </c>
      <c r="D26" s="310" t="str">
        <f ca="1">QCI!D21</f>
        <v>1.11</v>
      </c>
      <c r="E26" s="291" t="str">
        <f>QCI!G21</f>
        <v>Pintura e Limpeza</v>
      </c>
      <c r="F26" s="264" t="str">
        <f>QCI!H21</f>
        <v>Em Análise</v>
      </c>
      <c r="G26" s="265">
        <f>QCI!I21</f>
        <v>0</v>
      </c>
      <c r="H26" s="266" t="e">
        <f ca="1">QCI!J21</f>
        <v>#N/A</v>
      </c>
      <c r="I26" s="264" t="str">
        <f ca="1">IF($T26,QCI!K21,"")</f>
        <v/>
      </c>
      <c r="J26" s="267">
        <f>QCI!O21</f>
        <v>21127.56</v>
      </c>
      <c r="K26" s="259">
        <v>0</v>
      </c>
      <c r="L26" s="258">
        <f ca="1">IF($T26,ROUND(V26,2)-ROUND(K26,2),0)</f>
        <v>0</v>
      </c>
      <c r="M26" s="268">
        <f ca="1">ROUND($V26/$J26*QCI!M21,2)</f>
        <v>0</v>
      </c>
      <c r="N26" s="268">
        <f ca="1">ROUND($V26/$J26*QCI!N21,2)</f>
        <v>0</v>
      </c>
      <c r="O26" s="269">
        <v>0</v>
      </c>
      <c r="P26" s="270">
        <f ca="1">IF(OR($F26="Licitado / em execução",$F26="Concluído"),IF(T26,V26/($J26+10^-12),SUM(OFFSET(V26,1,0,$S26))/(SUM(OFFSET(J26,1,0,$S26))+10^-12)),0)</f>
        <v>0</v>
      </c>
      <c r="Q26" s="44"/>
      <c r="R26" s="44"/>
      <c r="S26" s="144">
        <f ca="1">QCI!U21</f>
        <v>0</v>
      </c>
      <c r="T26" s="144" t="b">
        <f ca="1">AND(QCI!V21,OR($F26="Licitado / em execução",$F26="Concluído"))</f>
        <v>0</v>
      </c>
      <c r="U26" s="144"/>
      <c r="V26" s="145">
        <f t="shared" ca="1" si="4"/>
        <v>0</v>
      </c>
      <c r="W26" s="146">
        <f ca="1">IF(AND(COUNTIF($I$9:$I26,$I26)=1,$I26&lt;&gt;"Adm. Direta",$L26&gt;0,$T26),OFFSET(W26,-1,0)+1,OFFSET(W26,-1,0))</f>
        <v>0</v>
      </c>
      <c r="Y26" s="145">
        <f t="shared" si="2"/>
        <v>0</v>
      </c>
      <c r="Z26" s="145">
        <f t="shared" ca="1" si="3"/>
        <v>0</v>
      </c>
    </row>
    <row r="27" spans="1:26" s="4" customFormat="1" ht="12" customHeight="1" thickBot="1">
      <c r="B27" s="199" t="s">
        <v>164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71"/>
      <c r="R27"/>
      <c r="S27"/>
      <c r="T27"/>
      <c r="U27"/>
      <c r="V27"/>
      <c r="W27"/>
      <c r="Y27"/>
      <c r="Z27"/>
    </row>
    <row r="28" spans="1:26" ht="12.75" customHeight="1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S28" s="38"/>
      <c r="T28" s="38"/>
      <c r="U28" s="38"/>
      <c r="V28" s="38"/>
      <c r="W28" s="38"/>
      <c r="Y28" s="38"/>
      <c r="Z28" s="38"/>
    </row>
    <row r="29" spans="1:26" ht="12.75" customHeight="1">
      <c r="B29" s="66" t="str">
        <f>QCI!H24</f>
        <v>Local:</v>
      </c>
      <c r="C29" s="396"/>
      <c r="D29" s="396"/>
      <c r="E29" s="396"/>
      <c r="F29" s="396"/>
      <c r="G29" s="7"/>
      <c r="H29" s="7"/>
      <c r="I29" s="65" t="str">
        <f>QCI!H25</f>
        <v>Data:</v>
      </c>
      <c r="J29" s="351">
        <f ca="1">TODAY()</f>
        <v>44749</v>
      </c>
      <c r="K29" s="351"/>
      <c r="L29" s="351"/>
      <c r="M29" s="351"/>
      <c r="N29" s="351"/>
      <c r="O29" s="351"/>
      <c r="P29" s="5"/>
      <c r="R29" s="52"/>
      <c r="S29" s="147"/>
      <c r="T29" s="38"/>
      <c r="U29" s="38"/>
      <c r="V29" s="38"/>
      <c r="W29" s="38"/>
      <c r="Y29" s="38"/>
      <c r="Z29" s="38"/>
    </row>
    <row r="30" spans="1:26" ht="39.950000000000003" customHeight="1">
      <c r="B30" s="61"/>
      <c r="C30" s="61"/>
      <c r="D30" s="62"/>
      <c r="E30" s="62"/>
      <c r="F30" s="62"/>
      <c r="G30" s="9"/>
      <c r="H30" s="9"/>
      <c r="I30" s="62"/>
      <c r="J30" s="68"/>
      <c r="K30" s="68"/>
      <c r="L30" s="68"/>
      <c r="M30" s="68"/>
      <c r="N30" s="68"/>
      <c r="O30" s="68"/>
      <c r="P30" s="3"/>
    </row>
    <row r="31" spans="1:26" ht="12.75" customHeight="1">
      <c r="B31" s="393" t="str">
        <f>IF($S$1="RRET","Responsável Técnico","Responsável Técnico CAIXA")</f>
        <v>Responsável Técnico</v>
      </c>
      <c r="C31" s="393"/>
      <c r="D31" s="393"/>
      <c r="E31" s="393"/>
      <c r="F31" s="393"/>
      <c r="G31" s="7"/>
      <c r="H31" s="7"/>
      <c r="I31" s="391" t="str">
        <f>IF($S$1="RREV","Responsável Gerencial CAIXA:",QCI!$C$27)</f>
        <v>Representante Tomador / Agente Promotor</v>
      </c>
      <c r="J31" s="391"/>
      <c r="K31" s="391"/>
      <c r="L31" s="391"/>
      <c r="M31" s="391"/>
      <c r="N31" s="391"/>
      <c r="O31" s="391"/>
      <c r="P31" s="5"/>
    </row>
    <row r="32" spans="1:26" ht="12.75" customHeight="1">
      <c r="B32" s="329" t="s">
        <v>241</v>
      </c>
      <c r="C32" s="329"/>
      <c r="D32" s="329"/>
      <c r="E32" s="350"/>
      <c r="F32" s="350"/>
      <c r="G32" s="7"/>
      <c r="H32" s="7"/>
      <c r="I32" s="58" t="s">
        <v>241</v>
      </c>
      <c r="J32" s="392"/>
      <c r="K32" s="392"/>
      <c r="L32" s="392"/>
      <c r="M32" s="392"/>
      <c r="N32" s="392"/>
      <c r="O32" s="392"/>
      <c r="P32" s="5"/>
    </row>
    <row r="33" spans="2:16" ht="12.75" customHeight="1">
      <c r="B33" s="329" t="str">
        <f>IF($S$1="RREV","Função:","Cargo:")</f>
        <v>Cargo:</v>
      </c>
      <c r="C33" s="329"/>
      <c r="D33" s="329"/>
      <c r="E33" s="350"/>
      <c r="F33" s="350"/>
      <c r="G33" s="7"/>
      <c r="H33" s="7"/>
      <c r="I33" s="60" t="str">
        <f>IF($S$1="RREV","Função:","Cargo:")</f>
        <v>Cargo:</v>
      </c>
      <c r="J33" s="392"/>
      <c r="K33" s="392"/>
      <c r="L33" s="392"/>
      <c r="M33" s="392"/>
      <c r="N33" s="392"/>
      <c r="O33" s="392"/>
      <c r="P33" s="5"/>
    </row>
    <row r="34" spans="2:16" ht="12.75" customHeight="1">
      <c r="B34" s="329" t="str">
        <f>IF($S$1="RREV","Matrícula:","ART/RRT Fiscal.:")</f>
        <v>ART/RRT Fiscal.:</v>
      </c>
      <c r="C34" s="329"/>
      <c r="D34" s="329"/>
      <c r="E34" s="390"/>
      <c r="F34" s="390"/>
      <c r="G34" s="7"/>
      <c r="H34" s="7"/>
      <c r="I34" s="63" t="str">
        <f>IF($S$1="RREV","Matrícula:","")</f>
        <v/>
      </c>
      <c r="J34" s="392"/>
      <c r="K34" s="392"/>
      <c r="L34" s="392"/>
      <c r="M34" s="392"/>
      <c r="N34" s="392"/>
      <c r="O34" s="392"/>
      <c r="P34" s="5"/>
    </row>
    <row r="35" spans="2:16" ht="39.950000000000003" customHeight="1">
      <c r="B35" s="67"/>
      <c r="C35" s="67"/>
      <c r="D35" s="67"/>
      <c r="E35" s="67"/>
      <c r="F35" s="67"/>
      <c r="G35" s="7"/>
      <c r="H35" s="7"/>
      <c r="I35" s="69"/>
      <c r="J35" s="69"/>
      <c r="K35" s="69"/>
      <c r="L35" s="69"/>
      <c r="M35" s="69"/>
      <c r="N35" s="69"/>
      <c r="O35" s="69"/>
      <c r="P35" s="5"/>
    </row>
    <row r="36" spans="2:16" ht="12.75" customHeight="1">
      <c r="B36" s="393" t="str">
        <f>IF($S$1="RRET","Responsável Social","Responsável Social CAIXA")</f>
        <v>Responsável Social</v>
      </c>
      <c r="C36" s="393"/>
      <c r="D36" s="393"/>
      <c r="E36" s="393"/>
      <c r="F36" s="393"/>
      <c r="G36" s="7"/>
      <c r="H36" s="7"/>
      <c r="I36" s="391" t="str">
        <f>IF($S$1="RREV","Responsável Operacional CAIXA","Responsável Financeiro")</f>
        <v>Responsável Financeiro</v>
      </c>
      <c r="J36" s="391"/>
      <c r="K36" s="391"/>
      <c r="L36" s="391"/>
      <c r="M36" s="391"/>
      <c r="N36" s="391"/>
      <c r="O36" s="391"/>
      <c r="P36" s="5"/>
    </row>
    <row r="37" spans="2:16" ht="12.75" customHeight="1">
      <c r="B37" s="329" t="s">
        <v>241</v>
      </c>
      <c r="C37" s="329"/>
      <c r="D37" s="329"/>
      <c r="E37" s="350"/>
      <c r="F37" s="350"/>
      <c r="G37" s="7"/>
      <c r="H37" s="7"/>
      <c r="I37" s="58" t="s">
        <v>241</v>
      </c>
      <c r="J37" s="392"/>
      <c r="K37" s="392"/>
      <c r="L37" s="392"/>
      <c r="M37" s="392"/>
      <c r="N37" s="392"/>
      <c r="O37" s="392"/>
      <c r="P37" s="5"/>
    </row>
    <row r="38" spans="2:16" ht="12.75" customHeight="1">
      <c r="B38" s="329" t="str">
        <f>IF($S$1="RREV","Função:","Cargo:")</f>
        <v>Cargo:</v>
      </c>
      <c r="C38" s="329"/>
      <c r="D38" s="329"/>
      <c r="E38" s="350"/>
      <c r="F38" s="350"/>
      <c r="G38" s="7"/>
      <c r="H38" s="7"/>
      <c r="I38" s="60" t="str">
        <f>IF($S$1="RREV","Função:","Cargo:")</f>
        <v>Cargo:</v>
      </c>
      <c r="J38" s="392"/>
      <c r="K38" s="392"/>
      <c r="L38" s="392"/>
      <c r="M38" s="392"/>
      <c r="N38" s="392"/>
      <c r="O38" s="392"/>
      <c r="P38" s="5"/>
    </row>
    <row r="39" spans="2:16" ht="12.75" customHeight="1">
      <c r="B39" s="329" t="str">
        <f>IF($S$1="RREV","Matrícula:","")</f>
        <v/>
      </c>
      <c r="C39" s="329"/>
      <c r="D39" s="329"/>
      <c r="E39" s="390"/>
      <c r="F39" s="390"/>
      <c r="G39" s="7"/>
      <c r="H39" s="7"/>
      <c r="I39" s="60" t="str">
        <f>IF($S$1="RREV","Matrícula:","")</f>
        <v/>
      </c>
      <c r="J39" s="392"/>
      <c r="K39" s="392"/>
      <c r="L39" s="392"/>
      <c r="M39" s="392"/>
      <c r="N39" s="392"/>
      <c r="O39" s="392"/>
      <c r="P39" s="5"/>
    </row>
    <row r="40" spans="2:16">
      <c r="D40" s="9"/>
      <c r="E40" s="9"/>
      <c r="F40" s="9"/>
      <c r="G40" s="9"/>
      <c r="H40" s="9"/>
      <c r="I40" s="9"/>
      <c r="J40" s="3"/>
      <c r="K40" s="3"/>
      <c r="L40" s="3"/>
      <c r="M40" s="3"/>
      <c r="N40" s="3"/>
      <c r="O40" s="3"/>
      <c r="P40" s="3"/>
    </row>
    <row r="41" spans="2:16">
      <c r="D41" s="9"/>
      <c r="E41" s="9"/>
      <c r="F41" s="9"/>
      <c r="G41" s="9"/>
      <c r="H41" s="9"/>
      <c r="I41" s="9"/>
      <c r="J41" s="3"/>
      <c r="K41" s="3"/>
      <c r="L41" s="3"/>
      <c r="M41" s="3"/>
      <c r="N41" s="3"/>
      <c r="O41" s="3"/>
      <c r="P41" s="3"/>
    </row>
  </sheetData>
  <sheetProtection password="E005" sheet="1" objects="1" scenarios="1"/>
  <mergeCells count="58">
    <mergeCell ref="Y9:Y10"/>
    <mergeCell ref="Z9:Z10"/>
    <mergeCell ref="Y8:Z8"/>
    <mergeCell ref="S9:S10"/>
    <mergeCell ref="W9:W10"/>
    <mergeCell ref="V9:V10"/>
    <mergeCell ref="T9:T10"/>
    <mergeCell ref="P11:P14"/>
    <mergeCell ref="R9:R10"/>
    <mergeCell ref="M11:M14"/>
    <mergeCell ref="N11:N14"/>
    <mergeCell ref="O9:O10"/>
    <mergeCell ref="P8:P10"/>
    <mergeCell ref="B3:O3"/>
    <mergeCell ref="B9:B10"/>
    <mergeCell ref="I5:I6"/>
    <mergeCell ref="B5:C6"/>
    <mergeCell ref="D5:D6"/>
    <mergeCell ref="F9:F10"/>
    <mergeCell ref="I9:I10"/>
    <mergeCell ref="H9:H10"/>
    <mergeCell ref="K8:O8"/>
    <mergeCell ref="M9:N10"/>
    <mergeCell ref="F5:G5"/>
    <mergeCell ref="C9:D10"/>
    <mergeCell ref="E9:E10"/>
    <mergeCell ref="G9:G10"/>
    <mergeCell ref="L9:L10"/>
    <mergeCell ref="K9:K10"/>
    <mergeCell ref="H11:I11"/>
    <mergeCell ref="J37:O37"/>
    <mergeCell ref="B32:D32"/>
    <mergeCell ref="C29:F29"/>
    <mergeCell ref="B31:F31"/>
    <mergeCell ref="I31:O31"/>
    <mergeCell ref="H13:I13"/>
    <mergeCell ref="H14:I14"/>
    <mergeCell ref="H12:I12"/>
    <mergeCell ref="F11:G14"/>
    <mergeCell ref="E32:F32"/>
    <mergeCell ref="B37:D37"/>
    <mergeCell ref="J29:O29"/>
    <mergeCell ref="E39:F39"/>
    <mergeCell ref="I36:O36"/>
    <mergeCell ref="J33:O33"/>
    <mergeCell ref="J34:O34"/>
    <mergeCell ref="J32:O32"/>
    <mergeCell ref="B36:F36"/>
    <mergeCell ref="E33:F33"/>
    <mergeCell ref="E34:F34"/>
    <mergeCell ref="B33:D33"/>
    <mergeCell ref="J38:O38"/>
    <mergeCell ref="J39:O39"/>
    <mergeCell ref="B34:D34"/>
    <mergeCell ref="B38:D38"/>
    <mergeCell ref="B39:D39"/>
    <mergeCell ref="E37:F37"/>
    <mergeCell ref="E38:F38"/>
  </mergeCells>
  <phoneticPr fontId="4" type="noConversion"/>
  <conditionalFormatting sqref="O15:O22">
    <cfRule type="expression" dxfId="39" priority="49" stopIfTrue="1">
      <formula>NOT($T15)</formula>
    </cfRule>
    <cfRule type="expression" dxfId="38" priority="50" stopIfTrue="1">
      <formula>$C15="Meta"</formula>
    </cfRule>
  </conditionalFormatting>
  <conditionalFormatting sqref="P15:P22 J15:J22 B15:E22">
    <cfRule type="expression" dxfId="37" priority="51" stopIfTrue="1">
      <formula>$J15=0</formula>
    </cfRule>
    <cfRule type="expression" dxfId="36" priority="52" stopIfTrue="1">
      <formula>$C15="Meta"</formula>
    </cfRule>
  </conditionalFormatting>
  <conditionalFormatting sqref="I15:I22 F15:F22">
    <cfRule type="expression" dxfId="35" priority="53" stopIfTrue="1">
      <formula>OR($J15=0,AND($C15="Meta",OFFSET($C15,1,0)="Sub-Meta"))</formula>
    </cfRule>
    <cfRule type="expression" dxfId="34" priority="54" stopIfTrue="1">
      <formula>$C15="Meta"</formula>
    </cfRule>
  </conditionalFormatting>
  <conditionalFormatting sqref="G15:H22">
    <cfRule type="expression" dxfId="33" priority="55" stopIfTrue="1">
      <formula>OR($J15=0,$C15="Sub-Meta")</formula>
    </cfRule>
  </conditionalFormatting>
  <conditionalFormatting sqref="E6">
    <cfRule type="cellIs" dxfId="32" priority="56" stopIfTrue="1" operator="equal">
      <formula>"Atrasada"</formula>
    </cfRule>
    <cfRule type="cellIs" dxfId="31" priority="57" stopIfTrue="1" operator="equal">
      <formula>"Adiantada"</formula>
    </cfRule>
  </conditionalFormatting>
  <conditionalFormatting sqref="J6:L6 H6:H8 F7:G8 I7:I8 K11 O11">
    <cfRule type="cellIs" dxfId="30" priority="58" stopIfTrue="1" operator="lessThan">
      <formula>0</formula>
    </cfRule>
  </conditionalFormatting>
  <conditionalFormatting sqref="O12">
    <cfRule type="expression" dxfId="29" priority="59" stopIfTrue="1">
      <formula>$S$1="RREV"</formula>
    </cfRule>
  </conditionalFormatting>
  <conditionalFormatting sqref="K15:K22">
    <cfRule type="expression" dxfId="28" priority="60" stopIfTrue="1">
      <formula>OR($J15=0,$T15=FALSE)</formula>
    </cfRule>
    <cfRule type="expression" dxfId="27" priority="61" stopIfTrue="1">
      <formula>$S$1="RREV"</formula>
    </cfRule>
    <cfRule type="expression" dxfId="26" priority="62" stopIfTrue="1">
      <formula>$C15="Meta"</formula>
    </cfRule>
  </conditionalFormatting>
  <conditionalFormatting sqref="L15:L22">
    <cfRule type="expression" dxfId="25" priority="63" stopIfTrue="1">
      <formula>OR($J15=0,$T15=FALSE)</formula>
    </cfRule>
    <cfRule type="expression" dxfId="24" priority="64" stopIfTrue="1">
      <formula>$C15="Meta"</formula>
    </cfRule>
  </conditionalFormatting>
  <conditionalFormatting sqref="O23">
    <cfRule type="expression" dxfId="23" priority="37" stopIfTrue="1">
      <formula>NOT($T23)</formula>
    </cfRule>
    <cfRule type="expression" dxfId="22" priority="38" stopIfTrue="1">
      <formula>$C23="Meta"</formula>
    </cfRule>
  </conditionalFormatting>
  <conditionalFormatting sqref="P23 J23 B23:E23">
    <cfRule type="expression" dxfId="21" priority="39" stopIfTrue="1">
      <formula>$J23=0</formula>
    </cfRule>
    <cfRule type="expression" dxfId="20" priority="40" stopIfTrue="1">
      <formula>$C23="Meta"</formula>
    </cfRule>
  </conditionalFormatting>
  <conditionalFormatting sqref="I23 F23">
    <cfRule type="expression" dxfId="19" priority="41" stopIfTrue="1">
      <formula>OR($J23=0,AND($C23="Meta",OFFSET($C23,1,0)="Sub-Meta"))</formula>
    </cfRule>
    <cfRule type="expression" dxfId="18" priority="42" stopIfTrue="1">
      <formula>$C23="Meta"</formula>
    </cfRule>
  </conditionalFormatting>
  <conditionalFormatting sqref="G23:H23">
    <cfRule type="expression" dxfId="17" priority="43" stopIfTrue="1">
      <formula>OR($J23=0,$C23="Sub-Meta")</formula>
    </cfRule>
  </conditionalFormatting>
  <conditionalFormatting sqref="K23">
    <cfRule type="expression" dxfId="16" priority="44" stopIfTrue="1">
      <formula>OR($J23=0,$T23=FALSE)</formula>
    </cfRule>
    <cfRule type="expression" dxfId="15" priority="45" stopIfTrue="1">
      <formula>$S$1="RREV"</formula>
    </cfRule>
    <cfRule type="expression" dxfId="14" priority="46" stopIfTrue="1">
      <formula>$C23="Meta"</formula>
    </cfRule>
  </conditionalFormatting>
  <conditionalFormatting sqref="L23">
    <cfRule type="expression" dxfId="13" priority="47" stopIfTrue="1">
      <formula>OR($J23=0,$T23=FALSE)</formula>
    </cfRule>
    <cfRule type="expression" dxfId="12" priority="48" stopIfTrue="1">
      <formula>$C23="Meta"</formula>
    </cfRule>
  </conditionalFormatting>
  <conditionalFormatting sqref="O24:O26">
    <cfRule type="expression" dxfId="11" priority="25" stopIfTrue="1">
      <formula>NOT($T24)</formula>
    </cfRule>
    <cfRule type="expression" dxfId="10" priority="26" stopIfTrue="1">
      <formula>$C24="Meta"</formula>
    </cfRule>
  </conditionalFormatting>
  <conditionalFormatting sqref="P24:P26 J24:J26 B24:E26">
    <cfRule type="expression" dxfId="9" priority="27" stopIfTrue="1">
      <formula>$J24=0</formula>
    </cfRule>
    <cfRule type="expression" dxfId="8" priority="28" stopIfTrue="1">
      <formula>$C24="Meta"</formula>
    </cfRule>
  </conditionalFormatting>
  <conditionalFormatting sqref="I24:I26 F24:F26">
    <cfRule type="expression" dxfId="7" priority="29" stopIfTrue="1">
      <formula>OR($J24=0,AND($C24="Meta",OFFSET($C24,1,0)="Sub-Meta"))</formula>
    </cfRule>
    <cfRule type="expression" dxfId="6" priority="30" stopIfTrue="1">
      <formula>$C24="Meta"</formula>
    </cfRule>
  </conditionalFormatting>
  <conditionalFormatting sqref="G24:H26">
    <cfRule type="expression" dxfId="5" priority="31" stopIfTrue="1">
      <formula>OR($J24=0,$C24="Sub-Meta")</formula>
    </cfRule>
  </conditionalFormatting>
  <conditionalFormatting sqref="K24:K26">
    <cfRule type="expression" dxfId="4" priority="32" stopIfTrue="1">
      <formula>OR($J24=0,$T24=FALSE)</formula>
    </cfRule>
    <cfRule type="expression" dxfId="3" priority="33" stopIfTrue="1">
      <formula>$S$1="RREV"</formula>
    </cfRule>
    <cfRule type="expression" dxfId="2" priority="34" stopIfTrue="1">
      <formula>$C24="Meta"</formula>
    </cfRule>
  </conditionalFormatting>
  <conditionalFormatting sqref="L24:L26">
    <cfRule type="expression" dxfId="1" priority="35" stopIfTrue="1">
      <formula>OR($J24=0,$T24=FALSE)</formula>
    </cfRule>
    <cfRule type="expression" dxfId="0" priority="36" stopIfTrue="1">
      <formula>$C24="Meta"</formula>
    </cfRule>
  </conditionalFormatting>
  <dataValidations count="5">
    <dataValidation type="decimal" allowBlank="1" showInputMessage="1" showErrorMessage="1" errorTitle="Erro de Entrada" error="Esse valor de Contrapartida implicará em um valor de Repasse negativo." sqref="K12">
      <formula1>0</formula1>
      <formula2>U6</formula2>
    </dataValidation>
    <dataValidation type="decimal" allowBlank="1" showInputMessage="1" showErrorMessage="1" errorTitle="Erro de Entrada" error="Esse valor de Contrapartida implicará em um valor de Repasse negativo." sqref="O12">
      <formula1>0</formula1>
      <formula2>V6</formula2>
    </dataValidation>
    <dataValidation type="date" operator="greaterThan" allowBlank="1" showInputMessage="1" showErrorMessage="1" sqref="J29:O29">
      <formula1>36526</formula1>
    </dataValidation>
    <dataValidation type="whole" operator="greaterThan" allowBlank="1" showInputMessage="1" showErrorMessage="1" sqref="D5:D6">
      <formula1>0</formula1>
    </dataValidation>
    <dataValidation type="decimal" allowBlank="1" showInputMessage="1" showErrorMessage="1" errorTitle="Erro de Valores" error="Digite valores entre 0 e o Valor de Investimento." sqref="O15:O26 K15:K26">
      <formula1>0</formula1>
      <formula2>$J15</formula2>
    </dataValidation>
  </dataValidations>
  <printOptions horizontalCentered="1"/>
  <pageMargins left="0.78740157480314965" right="0.78740157480314965" top="0.78740157480314965" bottom="0.78740157480314965" header="0" footer="0"/>
  <pageSetup paperSize="9" scale="56" orientation="landscape" r:id="rId1"/>
  <headerFooter alignWithMargins="0">
    <oddFooter>&amp;L41.211 v005  micro&amp;R&amp;P</oddFooter>
  </headerFooter>
  <drawing r:id="rId2"/>
  <legacyDrawing r:id="rId3"/>
  <oleObjects>
    <oleObject shapeId="4112" r:id="rId4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4"/>
  <dimension ref="A1:L55"/>
  <sheetViews>
    <sheetView showGridLines="0" view="pageBreakPreview" topLeftCell="A7" workbookViewId="0"/>
  </sheetViews>
  <sheetFormatPr defaultRowHeight="12.75"/>
  <cols>
    <col min="1" max="1" width="10.7109375" style="25" customWidth="1"/>
    <col min="2" max="2" width="22.7109375" style="25" customWidth="1"/>
    <col min="3" max="4" width="20.7109375" style="25" customWidth="1"/>
    <col min="5" max="5" width="12.7109375" style="25" customWidth="1"/>
    <col min="6" max="6" width="10.7109375" style="25" customWidth="1"/>
    <col min="7" max="7" width="47.7109375" style="25" customWidth="1"/>
    <col min="8" max="8" width="15.7109375" style="25" customWidth="1"/>
    <col min="9" max="9" width="13.7109375" style="25" customWidth="1"/>
    <col min="10" max="10" width="12.7109375" style="25" customWidth="1"/>
    <col min="11" max="12" width="0" style="25" hidden="1" customWidth="1"/>
    <col min="13" max="16384" width="9.140625" style="25"/>
  </cols>
  <sheetData>
    <row r="1" spans="1:12">
      <c r="A1" s="45"/>
      <c r="B1" s="45"/>
      <c r="C1" s="45"/>
      <c r="D1" s="45"/>
      <c r="E1" s="27" t="s">
        <v>132</v>
      </c>
      <c r="F1" s="45"/>
      <c r="G1" s="45"/>
      <c r="H1" s="45"/>
      <c r="I1" s="45"/>
      <c r="J1" s="45"/>
      <c r="K1" s="45"/>
      <c r="L1" s="45"/>
    </row>
    <row r="2" spans="1:12">
      <c r="A2" s="434">
        <f>RRE!C29</f>
        <v>0</v>
      </c>
      <c r="B2" s="434"/>
      <c r="C2" s="434"/>
      <c r="D2" s="437"/>
      <c r="E2" s="20" t="s">
        <v>136</v>
      </c>
      <c r="F2" s="434">
        <f>A2</f>
        <v>0</v>
      </c>
      <c r="G2" s="434"/>
      <c r="H2" s="434"/>
      <c r="I2" s="434"/>
      <c r="J2" s="45"/>
      <c r="K2" s="45"/>
      <c r="L2" s="45"/>
    </row>
    <row r="3" spans="1:12">
      <c r="A3" s="438">
        <f ca="1">RRE!J29</f>
        <v>44749</v>
      </c>
      <c r="B3" s="438"/>
      <c r="C3" s="438"/>
      <c r="D3" s="438"/>
      <c r="E3" s="45"/>
      <c r="F3" s="438">
        <f ca="1">A3</f>
        <v>44749</v>
      </c>
      <c r="G3" s="438"/>
      <c r="H3" s="438"/>
      <c r="I3" s="438"/>
      <c r="J3" s="45"/>
      <c r="K3" s="45"/>
      <c r="L3" s="45"/>
    </row>
    <row r="4" spans="1:12">
      <c r="A4" s="117"/>
      <c r="B4" s="117"/>
      <c r="C4" s="117"/>
      <c r="D4" s="117"/>
      <c r="E4" s="45"/>
      <c r="F4" s="117"/>
      <c r="G4" s="117"/>
      <c r="H4" s="117"/>
      <c r="I4" s="117"/>
      <c r="J4" s="45"/>
      <c r="K4" s="45"/>
      <c r="L4" s="45"/>
    </row>
    <row r="5" spans="1:12">
      <c r="A5" s="117" t="s">
        <v>285</v>
      </c>
      <c r="B5" s="119"/>
      <c r="C5" s="117"/>
      <c r="D5" s="117"/>
      <c r="E5" s="45"/>
      <c r="F5" s="117"/>
      <c r="G5" s="117"/>
      <c r="H5" s="117"/>
      <c r="I5" s="117"/>
      <c r="J5" s="45"/>
      <c r="K5" s="45"/>
      <c r="L5" s="45"/>
    </row>
    <row r="6" spans="1:1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>
      <c r="A7" s="24" t="s">
        <v>137</v>
      </c>
      <c r="B7" s="45"/>
      <c r="C7" s="45"/>
      <c r="D7" s="45"/>
      <c r="E7" s="45"/>
      <c r="F7" s="24" t="s">
        <v>137</v>
      </c>
      <c r="G7" s="45"/>
      <c r="H7" s="24"/>
      <c r="I7" s="45"/>
      <c r="J7" s="45"/>
      <c r="K7" s="45"/>
      <c r="L7" s="45"/>
    </row>
    <row r="8" spans="1:12">
      <c r="A8" s="439" t="s">
        <v>138</v>
      </c>
      <c r="B8" s="439"/>
      <c r="C8" s="45"/>
      <c r="D8" s="45"/>
      <c r="E8" s="45"/>
      <c r="F8" s="24" t="s">
        <v>138</v>
      </c>
      <c r="G8" s="45"/>
      <c r="H8" s="24"/>
      <c r="I8" s="45"/>
      <c r="J8" s="45"/>
      <c r="K8" s="45"/>
      <c r="L8" s="45"/>
    </row>
    <row r="9" spans="1:12">
      <c r="A9" s="159" t="s">
        <v>167</v>
      </c>
      <c r="B9" s="440"/>
      <c r="C9" s="440"/>
      <c r="D9" s="46"/>
      <c r="E9" s="45"/>
      <c r="F9" s="443" t="str">
        <f>CONCATENATE(A9," ",B9)</f>
        <v xml:space="preserve">GIGOV </v>
      </c>
      <c r="G9" s="443"/>
      <c r="H9" s="46"/>
      <c r="I9" s="46"/>
      <c r="J9" s="45"/>
      <c r="K9" s="45"/>
      <c r="L9" s="45"/>
    </row>
    <row r="10" spans="1:12">
      <c r="A10" s="46"/>
      <c r="B10" s="46"/>
      <c r="C10" s="46"/>
      <c r="D10" s="46"/>
      <c r="E10" s="45"/>
      <c r="F10" s="45"/>
      <c r="G10" s="46"/>
      <c r="H10" s="46"/>
      <c r="I10" s="46"/>
      <c r="J10" s="45"/>
      <c r="K10" s="45"/>
      <c r="L10" s="45"/>
    </row>
    <row r="11" spans="1:1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2">
      <c r="A12" s="24" t="s">
        <v>139</v>
      </c>
      <c r="B12" s="434" t="s">
        <v>140</v>
      </c>
      <c r="C12" s="434"/>
      <c r="D12" s="26"/>
      <c r="E12" s="45"/>
      <c r="F12" s="24" t="s">
        <v>139</v>
      </c>
      <c r="G12" s="26" t="str">
        <f>CONCATENATE("Relação de Fornecedores - Solicitação de Recursos n° ",RRE!$D$5)</f>
        <v>Relação de Fornecedores - Solicitação de Recursos n° 1</v>
      </c>
      <c r="H12" s="26"/>
      <c r="I12" s="45"/>
      <c r="J12" s="45"/>
      <c r="K12" s="45"/>
      <c r="L12" s="45"/>
    </row>
    <row r="13" spans="1:12">
      <c r="A13" s="24" t="s">
        <v>141</v>
      </c>
      <c r="B13" s="80" t="s">
        <v>142</v>
      </c>
      <c r="C13" s="47">
        <f>DADOS!A22</f>
        <v>0</v>
      </c>
      <c r="D13" s="47"/>
      <c r="E13" s="45"/>
      <c r="F13" s="24" t="s">
        <v>141</v>
      </c>
      <c r="G13" s="434" t="str">
        <f>CONCATENATE(B13," ",C13)</f>
        <v>Contrato de Repasse nº: 0</v>
      </c>
      <c r="H13" s="434"/>
      <c r="I13" s="73"/>
      <c r="J13" s="45"/>
      <c r="K13" s="45"/>
      <c r="L13" s="45"/>
    </row>
    <row r="14" spans="1:12">
      <c r="A14" s="45"/>
      <c r="B14" s="45"/>
      <c r="C14" s="45"/>
      <c r="D14" s="45"/>
      <c r="E14" s="45"/>
      <c r="F14" s="45"/>
      <c r="G14" s="45"/>
      <c r="H14" s="47"/>
      <c r="I14" s="45"/>
      <c r="J14" s="45"/>
      <c r="K14" s="45"/>
      <c r="L14" s="45"/>
    </row>
    <row r="15" spans="1:12">
      <c r="A15" s="26" t="s">
        <v>143</v>
      </c>
      <c r="B15" s="444" t="str">
        <f>DADOS!$A$28</f>
        <v>REFORMA DE UNIDADE DE ATENÇÃO ESPECIALIZADA EM SAÚDE</v>
      </c>
      <c r="C15" s="444"/>
      <c r="D15" s="444"/>
      <c r="E15" s="444"/>
      <c r="F15" s="26" t="s">
        <v>143</v>
      </c>
      <c r="G15" s="444" t="str">
        <f>B15</f>
        <v>REFORMA DE UNIDADE DE ATENÇÃO ESPECIALIZADA EM SAÚDE</v>
      </c>
      <c r="H15" s="444"/>
      <c r="I15" s="444"/>
      <c r="J15" s="48"/>
      <c r="K15" s="45"/>
      <c r="L15" s="45"/>
    </row>
    <row r="16" spans="1:12" ht="50.1" customHeight="1">
      <c r="A16" s="45"/>
      <c r="B16" s="444"/>
      <c r="C16" s="444"/>
      <c r="D16" s="444"/>
      <c r="E16" s="444"/>
      <c r="F16" s="45"/>
      <c r="G16" s="444"/>
      <c r="H16" s="444"/>
      <c r="I16" s="444"/>
      <c r="J16" s="72"/>
      <c r="K16" s="45"/>
      <c r="L16" s="45"/>
    </row>
    <row r="17" spans="1:12">
      <c r="A17" s="442" t="s">
        <v>148</v>
      </c>
      <c r="B17" s="436" t="str">
        <f>DADOS!$A$25</f>
        <v>PREFEITURA MUNICIPAL DE NOVA FRIBURGO</v>
      </c>
      <c r="C17" s="436"/>
      <c r="D17" s="436"/>
      <c r="E17" s="436"/>
      <c r="F17" s="442" t="s">
        <v>148</v>
      </c>
      <c r="G17" s="436" t="str">
        <f>B17</f>
        <v>PREFEITURA MUNICIPAL DE NOVA FRIBURGO</v>
      </c>
      <c r="H17" s="436"/>
      <c r="I17" s="436"/>
      <c r="J17" s="73"/>
      <c r="K17" s="45"/>
      <c r="L17" s="45"/>
    </row>
    <row r="18" spans="1:12">
      <c r="A18" s="442"/>
      <c r="B18" s="436"/>
      <c r="C18" s="436"/>
      <c r="D18" s="436"/>
      <c r="E18" s="436"/>
      <c r="F18" s="442"/>
      <c r="G18" s="436"/>
      <c r="H18" s="436"/>
      <c r="I18" s="436"/>
      <c r="J18" s="45"/>
      <c r="K18" s="45"/>
      <c r="L18" s="45"/>
    </row>
    <row r="19" spans="1:1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spans="1:12" ht="12.75" customHeight="1">
      <c r="A20" s="441" t="s">
        <v>249</v>
      </c>
      <c r="B20" s="441"/>
      <c r="C20" s="45"/>
      <c r="D20" s="45"/>
      <c r="E20" s="45"/>
      <c r="F20" s="445" t="s">
        <v>284</v>
      </c>
      <c r="G20" s="445"/>
      <c r="H20" s="445"/>
      <c r="I20" s="445"/>
      <c r="J20" s="76"/>
      <c r="K20" s="45"/>
      <c r="L20" s="45"/>
    </row>
    <row r="21" spans="1:12">
      <c r="A21" s="45"/>
      <c r="B21" s="45"/>
      <c r="C21" s="45"/>
      <c r="D21" s="45"/>
      <c r="E21" s="45"/>
      <c r="F21" s="445"/>
      <c r="G21" s="445"/>
      <c r="H21" s="445"/>
      <c r="I21" s="445"/>
      <c r="J21" s="3"/>
      <c r="K21" s="48" t="s">
        <v>150</v>
      </c>
      <c r="L21" s="48" t="s">
        <v>151</v>
      </c>
    </row>
    <row r="22" spans="1:12" ht="12.75" customHeight="1">
      <c r="A22" s="449" t="s">
        <v>303</v>
      </c>
      <c r="B22" s="449"/>
      <c r="C22" s="449"/>
      <c r="D22" s="449"/>
      <c r="E22" s="449"/>
      <c r="F22" s="49" t="s">
        <v>149</v>
      </c>
      <c r="G22" s="78" t="s">
        <v>144</v>
      </c>
      <c r="H22" s="50" t="s">
        <v>145</v>
      </c>
      <c r="I22" s="50" t="s">
        <v>146</v>
      </c>
      <c r="J22" s="45"/>
      <c r="K22" s="45"/>
      <c r="L22" s="45"/>
    </row>
    <row r="23" spans="1:12">
      <c r="A23" s="449"/>
      <c r="B23" s="449"/>
      <c r="C23" s="449"/>
      <c r="D23" s="449"/>
      <c r="E23" s="449"/>
      <c r="F23" s="279" t="str">
        <f t="shared" ref="F23:F37" ca="1" si="0">IF(ISERROR($L23),"",$L23)</f>
        <v/>
      </c>
      <c r="G23" s="280"/>
      <c r="H23" s="280"/>
      <c r="I23" s="281" t="str">
        <f ca="1">IF(ISERROR(L23),"",SUMIF(RRE!$I$9:$I$27,Ofício!F23,RRE!$L$9:$L$27))</f>
        <v/>
      </c>
      <c r="J23" s="45"/>
      <c r="K23" s="51">
        <f ca="1">OFFSET(K23,-1,0)+1</f>
        <v>1</v>
      </c>
      <c r="L23" s="45" t="e">
        <f ca="1">INDEX(RRE!$I$9:$I$27,MATCH(Ofício!K23,RRE!$W$9:$W$27,0))</f>
        <v>#N/A</v>
      </c>
    </row>
    <row r="24" spans="1:12">
      <c r="A24" s="449"/>
      <c r="B24" s="449"/>
      <c r="C24" s="449"/>
      <c r="D24" s="449"/>
      <c r="E24" s="449"/>
      <c r="F24" s="282" t="str">
        <f t="shared" ca="1" si="0"/>
        <v/>
      </c>
      <c r="G24" s="283"/>
      <c r="H24" s="283"/>
      <c r="I24" s="284" t="str">
        <f ca="1">IF(ISERROR(L24),"",SUMIF(RRE!$I$9:$I$27,Ofício!F24,RRE!$L$9:$L$27))</f>
        <v/>
      </c>
      <c r="J24" s="45"/>
      <c r="K24" s="51">
        <f t="shared" ref="K24:K42" ca="1" si="1">OFFSET(K24,-1,0)+1</f>
        <v>2</v>
      </c>
      <c r="L24" s="45" t="e">
        <f ca="1">INDEX(RRE!$I$9:$I$27,MATCH(Ofício!K24,RRE!$W$9:$W$27,0))</f>
        <v>#N/A</v>
      </c>
    </row>
    <row r="25" spans="1:12" ht="13.5" thickBot="1">
      <c r="A25" s="45"/>
      <c r="B25" s="45"/>
      <c r="C25" s="45"/>
      <c r="D25" s="45"/>
      <c r="E25" s="45"/>
      <c r="F25" s="282" t="str">
        <f t="shared" ca="1" si="0"/>
        <v/>
      </c>
      <c r="G25" s="283"/>
      <c r="H25" s="283"/>
      <c r="I25" s="284" t="str">
        <f ca="1">IF(ISERROR(L25),"",SUMIF(RRE!$I$9:$I$27,Ofício!F25,RRE!$L$9:$L$27))</f>
        <v/>
      </c>
      <c r="J25" s="45"/>
      <c r="K25" s="51">
        <f t="shared" ca="1" si="1"/>
        <v>3</v>
      </c>
      <c r="L25" s="45" t="e">
        <f ca="1">INDEX(RRE!$I$9:$I$27,MATCH(Ofício!K25,RRE!$W$9:$W$27,0))</f>
        <v>#N/A</v>
      </c>
    </row>
    <row r="26" spans="1:12">
      <c r="A26" s="81"/>
      <c r="B26" s="447"/>
      <c r="C26" s="450" t="str">
        <f>CONCATENATE(RRE!$D$5,"ª Solicitação, evolução dos serviços")</f>
        <v>1ª Solicitação, evolução dos serviços</v>
      </c>
      <c r="D26" s="452" t="s">
        <v>248</v>
      </c>
      <c r="E26" s="74"/>
      <c r="F26" s="282" t="str">
        <f t="shared" ca="1" si="0"/>
        <v/>
      </c>
      <c r="G26" s="283"/>
      <c r="H26" s="283"/>
      <c r="I26" s="284" t="str">
        <f ca="1">IF(ISERROR(L26),"",SUMIF(RRE!$I$9:$I$27,Ofício!F26,RRE!$L$9:$L$27))</f>
        <v/>
      </c>
      <c r="J26" s="45"/>
      <c r="K26" s="51">
        <f t="shared" ca="1" si="1"/>
        <v>4</v>
      </c>
      <c r="L26" s="45" t="e">
        <f ca="1">INDEX(RRE!$I$9:$I$27,MATCH(Ofício!K26,RRE!$W$9:$W$27,0))</f>
        <v>#N/A</v>
      </c>
    </row>
    <row r="27" spans="1:12">
      <c r="A27" s="81"/>
      <c r="B27" s="448"/>
      <c r="C27" s="451"/>
      <c r="D27" s="453"/>
      <c r="E27" s="74"/>
      <c r="F27" s="282" t="str">
        <f t="shared" ca="1" si="0"/>
        <v/>
      </c>
      <c r="G27" s="283"/>
      <c r="H27" s="283"/>
      <c r="I27" s="284" t="str">
        <f ca="1">IF(ISERROR(L27),"",SUMIF(RRE!$I$9:$I$27,Ofício!F27,RRE!$L$9:$L$27))</f>
        <v/>
      </c>
      <c r="J27" s="45"/>
      <c r="K27" s="51">
        <f t="shared" ca="1" si="1"/>
        <v>5</v>
      </c>
      <c r="L27" s="45" t="e">
        <f ca="1">INDEX(RRE!$I$9:$I$27,MATCH(Ofício!K27,RRE!$W$9:$W$27,0))</f>
        <v>#N/A</v>
      </c>
    </row>
    <row r="28" spans="1:12">
      <c r="A28" s="86"/>
      <c r="B28" s="273" t="str">
        <f>CONCATENATE(QCI!$L$5,":")</f>
        <v>Repasse:</v>
      </c>
      <c r="C28" s="274">
        <f ca="1">RRE!L11</f>
        <v>0</v>
      </c>
      <c r="D28" s="275">
        <f ca="1">RRE!O11</f>
        <v>0</v>
      </c>
      <c r="E28" s="87"/>
      <c r="F28" s="282" t="str">
        <f t="shared" ca="1" si="0"/>
        <v/>
      </c>
      <c r="G28" s="283"/>
      <c r="H28" s="283"/>
      <c r="I28" s="284" t="str">
        <f ca="1">IF(ISERROR(L28),"",SUMIF(RRE!$I$9:$I$27,Ofício!F28,RRE!$L$9:$L$27))</f>
        <v/>
      </c>
      <c r="J28" s="45"/>
      <c r="K28" s="51">
        <f t="shared" ca="1" si="1"/>
        <v>6</v>
      </c>
      <c r="L28" s="45" t="e">
        <f ca="1">INDEX(RRE!$I$9:$I$27,MATCH(Ofício!K28,RRE!$W$9:$W$27,0))</f>
        <v>#N/A</v>
      </c>
    </row>
    <row r="29" spans="1:12">
      <c r="A29" s="86"/>
      <c r="B29" s="273" t="s">
        <v>246</v>
      </c>
      <c r="C29" s="274">
        <f ca="1">RRE!L12</f>
        <v>0</v>
      </c>
      <c r="D29" s="275">
        <f ca="1">RRE!O12</f>
        <v>0</v>
      </c>
      <c r="E29" s="87"/>
      <c r="F29" s="282" t="str">
        <f t="shared" ca="1" si="0"/>
        <v/>
      </c>
      <c r="G29" s="283"/>
      <c r="H29" s="283"/>
      <c r="I29" s="284" t="str">
        <f ca="1">IF(ISERROR(L29),"",SUMIF(RRE!$I$9:$I$27,Ofício!F29,RRE!$L$9:$L$27))</f>
        <v/>
      </c>
      <c r="J29" s="45"/>
      <c r="K29" s="51">
        <f t="shared" ca="1" si="1"/>
        <v>7</v>
      </c>
      <c r="L29" s="45" t="e">
        <f ca="1">INDEX(RRE!$I$9:$I$27,MATCH(Ofício!K29,RRE!$W$9:$W$27,0))</f>
        <v>#N/A</v>
      </c>
    </row>
    <row r="30" spans="1:12">
      <c r="A30" s="86"/>
      <c r="B30" s="273" t="str">
        <f>CONCATENATE(QCI!$N$5,":")</f>
        <v>Contrapartida Física:</v>
      </c>
      <c r="C30" s="274">
        <f ca="1">RRE!L13</f>
        <v>0</v>
      </c>
      <c r="D30" s="275">
        <f ca="1">RRE!O13</f>
        <v>0</v>
      </c>
      <c r="E30" s="87"/>
      <c r="F30" s="282" t="str">
        <f t="shared" ca="1" si="0"/>
        <v/>
      </c>
      <c r="G30" s="283"/>
      <c r="H30" s="283"/>
      <c r="I30" s="284" t="str">
        <f ca="1">IF(ISERROR(L30),"",SUMIF(RRE!$I$9:$I$27,Ofício!F30,RRE!$L$9:$L$27))</f>
        <v/>
      </c>
      <c r="J30" s="45"/>
      <c r="K30" s="51">
        <f t="shared" ca="1" si="1"/>
        <v>8</v>
      </c>
      <c r="L30" s="45" t="e">
        <f ca="1">INDEX(RRE!$I$9:$I$27,MATCH(Ofício!K30,RRE!$W$9:$W$27,0))</f>
        <v>#N/A</v>
      </c>
    </row>
    <row r="31" spans="1:12">
      <c r="A31" s="86"/>
      <c r="B31" s="273" t="s">
        <v>247</v>
      </c>
      <c r="C31" s="274">
        <f ca="1">RRE!L14</f>
        <v>0</v>
      </c>
      <c r="D31" s="275">
        <f ca="1">RRE!O14</f>
        <v>0</v>
      </c>
      <c r="E31" s="87"/>
      <c r="F31" s="282" t="str">
        <f t="shared" ca="1" si="0"/>
        <v/>
      </c>
      <c r="G31" s="283"/>
      <c r="H31" s="283"/>
      <c r="I31" s="284" t="str">
        <f ca="1">IF(ISERROR(L31),"",SUMIF(RRE!$I$9:$I$27,Ofício!F31,RRE!$L$9:$L$27))</f>
        <v/>
      </c>
      <c r="J31" s="45"/>
      <c r="K31" s="51">
        <f t="shared" ca="1" si="1"/>
        <v>9</v>
      </c>
      <c r="L31" s="45" t="e">
        <f ca="1">INDEX(RRE!$I$9:$I$27,MATCH(Ofício!K31,RRE!$W$9:$W$27,0))</f>
        <v>#N/A</v>
      </c>
    </row>
    <row r="32" spans="1:12" ht="13.5" thickBot="1">
      <c r="A32" s="86"/>
      <c r="B32" s="276" t="s">
        <v>245</v>
      </c>
      <c r="C32" s="277">
        <f ca="1">RRE!L14/(RRE!J14+10^-12)</f>
        <v>0</v>
      </c>
      <c r="D32" s="278">
        <f ca="1">RRE!P11</f>
        <v>0</v>
      </c>
      <c r="E32" s="88"/>
      <c r="F32" s="282" t="str">
        <f t="shared" ca="1" si="0"/>
        <v/>
      </c>
      <c r="G32" s="283"/>
      <c r="H32" s="283"/>
      <c r="I32" s="284" t="str">
        <f ca="1">IF(ISERROR(L32),"",SUMIF(RRE!$I$9:$I$27,Ofício!F32,RRE!$L$9:$L$27))</f>
        <v/>
      </c>
      <c r="J32" s="45"/>
      <c r="K32" s="51">
        <f t="shared" ca="1" si="1"/>
        <v>10</v>
      </c>
      <c r="L32" s="45" t="e">
        <f ca="1">INDEX(RRE!$I$9:$I$27,MATCH(Ofício!K32,RRE!$W$9:$W$27,0))</f>
        <v>#N/A</v>
      </c>
    </row>
    <row r="33" spans="1:12">
      <c r="A33" s="74"/>
      <c r="B33" s="45"/>
      <c r="C33" s="45"/>
      <c r="D33" s="45"/>
      <c r="E33" s="45"/>
      <c r="F33" s="282" t="str">
        <f t="shared" ca="1" si="0"/>
        <v/>
      </c>
      <c r="G33" s="283"/>
      <c r="H33" s="283"/>
      <c r="I33" s="284" t="str">
        <f ca="1">IF(ISERROR(L33),"",SUMIF(RRE!$I$9:$I$27,Ofício!F33,RRE!$L$9:$L$27))</f>
        <v/>
      </c>
      <c r="J33" s="45"/>
      <c r="K33" s="51">
        <f t="shared" ca="1" si="1"/>
        <v>11</v>
      </c>
      <c r="L33" s="45" t="e">
        <f ca="1">INDEX(RRE!$I$9:$I$27,MATCH(Ofício!K33,RRE!$W$9:$W$27,0))</f>
        <v>#N/A</v>
      </c>
    </row>
    <row r="34" spans="1:12">
      <c r="A34" s="74"/>
      <c r="B34" s="74"/>
      <c r="C34" s="74"/>
      <c r="D34" s="74"/>
      <c r="E34" s="45"/>
      <c r="F34" s="282" t="str">
        <f t="shared" ca="1" si="0"/>
        <v/>
      </c>
      <c r="G34" s="283"/>
      <c r="H34" s="283"/>
      <c r="I34" s="284" t="str">
        <f ca="1">IF(ISERROR(L34),"",SUMIF(RRE!$I$9:$I$27,Ofício!F34,RRE!$L$9:$L$27))</f>
        <v/>
      </c>
      <c r="J34" s="45"/>
      <c r="K34" s="51">
        <f t="shared" ca="1" si="1"/>
        <v>12</v>
      </c>
      <c r="L34" s="45" t="e">
        <f ca="1">INDEX(RRE!$I$9:$I$27,MATCH(Ofício!K34,RRE!$W$9:$W$27,0))</f>
        <v>#N/A</v>
      </c>
    </row>
    <row r="35" spans="1:12">
      <c r="A35" s="48" t="s">
        <v>252</v>
      </c>
      <c r="B35" s="74"/>
      <c r="C35" s="74"/>
      <c r="D35" s="74"/>
      <c r="E35" s="45"/>
      <c r="F35" s="282" t="str">
        <f t="shared" ca="1" si="0"/>
        <v/>
      </c>
      <c r="G35" s="283"/>
      <c r="H35" s="283"/>
      <c r="I35" s="284" t="str">
        <f ca="1">IF(ISERROR(L35),"",SUMIF(RRE!$I$9:$I$27,Ofício!F35,RRE!$L$9:$L$27))</f>
        <v/>
      </c>
      <c r="J35" s="45"/>
      <c r="K35" s="51">
        <f t="shared" ca="1" si="1"/>
        <v>13</v>
      </c>
      <c r="L35" s="45" t="e">
        <f ca="1">INDEX(RRE!$I$9:$I$27,MATCH(Ofício!K35,RRE!$W$9:$W$27,0))</f>
        <v>#N/A</v>
      </c>
    </row>
    <row r="36" spans="1:12">
      <c r="A36" s="446"/>
      <c r="B36" s="446"/>
      <c r="C36" s="446"/>
      <c r="D36" s="446"/>
      <c r="E36" s="446"/>
      <c r="F36" s="282" t="str">
        <f t="shared" ca="1" si="0"/>
        <v/>
      </c>
      <c r="G36" s="283"/>
      <c r="H36" s="283"/>
      <c r="I36" s="284" t="str">
        <f ca="1">IF(ISERROR(L36),"",SUMIF(RRE!$I$9:$I$27,Ofício!F36,RRE!$L$9:$L$27))</f>
        <v/>
      </c>
      <c r="J36" s="45"/>
      <c r="K36" s="51">
        <f t="shared" ca="1" si="1"/>
        <v>14</v>
      </c>
      <c r="L36" s="45" t="e">
        <f ca="1">INDEX(RRE!$I$9:$I$27,MATCH(Ofício!K36,RRE!$W$9:$W$27,0))</f>
        <v>#N/A</v>
      </c>
    </row>
    <row r="37" spans="1:12">
      <c r="A37" s="446"/>
      <c r="B37" s="446"/>
      <c r="C37" s="446"/>
      <c r="D37" s="446"/>
      <c r="E37" s="446"/>
      <c r="F37" s="282" t="str">
        <f t="shared" ca="1" si="0"/>
        <v/>
      </c>
      <c r="G37" s="283"/>
      <c r="H37" s="283"/>
      <c r="I37" s="284" t="str">
        <f ca="1">IF(ISERROR(L37),"",SUMIF(RRE!$I$9:$I$27,Ofício!F37,RRE!$L$9:$L$27))</f>
        <v/>
      </c>
      <c r="J37" s="45"/>
      <c r="K37" s="51">
        <f t="shared" ca="1" si="1"/>
        <v>15</v>
      </c>
      <c r="L37" s="45" t="e">
        <f ca="1">INDEX(RRE!$I$9:$I$27,MATCH(Ofício!K37,RRE!$W$9:$W$27,0))</f>
        <v>#N/A</v>
      </c>
    </row>
    <row r="38" spans="1:12">
      <c r="A38" s="446"/>
      <c r="B38" s="446"/>
      <c r="C38" s="446"/>
      <c r="D38" s="446"/>
      <c r="E38" s="446"/>
      <c r="F38" s="282"/>
      <c r="G38" s="283"/>
      <c r="H38" s="283"/>
      <c r="I38" s="284" t="str">
        <f ca="1">IF(ISERROR(L38),"",SUMIF(RRE!$I$9:$I$27,Ofício!F38,RRE!$L$9:$L$27))</f>
        <v/>
      </c>
      <c r="J38" s="45"/>
      <c r="K38" s="51">
        <f t="shared" ca="1" si="1"/>
        <v>16</v>
      </c>
      <c r="L38" s="45" t="e">
        <f ca="1">INDEX(RRE!$I$9:$I$27,MATCH(Ofício!K38,RRE!$W$9:$W$27,0))</f>
        <v>#N/A</v>
      </c>
    </row>
    <row r="39" spans="1:12">
      <c r="A39" s="446"/>
      <c r="B39" s="446"/>
      <c r="C39" s="446"/>
      <c r="D39" s="446"/>
      <c r="E39" s="446"/>
      <c r="F39" s="282"/>
      <c r="G39" s="283"/>
      <c r="H39" s="283"/>
      <c r="I39" s="284" t="str">
        <f ca="1">IF(ISERROR(L39),"",SUMIF(RRE!$I$9:$I$27,Ofício!F39,RRE!$L$9:$L$27))</f>
        <v/>
      </c>
      <c r="J39" s="45"/>
      <c r="K39" s="51">
        <f t="shared" ca="1" si="1"/>
        <v>17</v>
      </c>
      <c r="L39" s="45" t="e">
        <f ca="1">INDEX(RRE!$I$9:$I$27,MATCH(Ofício!K39,RRE!$W$9:$W$27,0))</f>
        <v>#N/A</v>
      </c>
    </row>
    <row r="40" spans="1:12">
      <c r="A40" s="446"/>
      <c r="B40" s="446"/>
      <c r="C40" s="446"/>
      <c r="D40" s="446"/>
      <c r="E40" s="446"/>
      <c r="F40" s="282"/>
      <c r="G40" s="283"/>
      <c r="H40" s="283"/>
      <c r="I40" s="284" t="str">
        <f ca="1">IF(ISERROR(L40),"",SUMIF(RRE!$I$9:$I$27,Ofício!F40,RRE!$L$9:$L$27))</f>
        <v/>
      </c>
      <c r="J40" s="45"/>
      <c r="K40" s="51">
        <f t="shared" ca="1" si="1"/>
        <v>18</v>
      </c>
      <c r="L40" s="45" t="e">
        <f ca="1">INDEX(RRE!$I$9:$I$27,MATCH(Ofício!K40,RRE!$W$9:$W$27,0))</f>
        <v>#N/A</v>
      </c>
    </row>
    <row r="41" spans="1:12">
      <c r="A41" s="446"/>
      <c r="B41" s="446"/>
      <c r="C41" s="446"/>
      <c r="D41" s="446"/>
      <c r="E41" s="446"/>
      <c r="F41" s="282"/>
      <c r="G41" s="283"/>
      <c r="H41" s="283"/>
      <c r="I41" s="284" t="str">
        <f ca="1">IF(ISERROR(L41),"",SUMIF(RRE!$I$9:$I$27,Ofício!F41,RRE!$L$9:$L$27))</f>
        <v/>
      </c>
      <c r="J41" s="45"/>
      <c r="K41" s="51">
        <f t="shared" ca="1" si="1"/>
        <v>19</v>
      </c>
      <c r="L41" s="45" t="e">
        <f ca="1">INDEX(RRE!$I$9:$I$27,MATCH(Ofício!K41,RRE!$W$9:$W$27,0))</f>
        <v>#N/A</v>
      </c>
    </row>
    <row r="42" spans="1:12">
      <c r="A42" s="446"/>
      <c r="B42" s="446"/>
      <c r="C42" s="446"/>
      <c r="D42" s="446"/>
      <c r="E42" s="446"/>
      <c r="F42" s="285"/>
      <c r="G42" s="286"/>
      <c r="H42" s="286"/>
      <c r="I42" s="287" t="str">
        <f ca="1">IF(ISERROR(L42),"",SUMIF(RRE!$I$9:$I$27,Ofício!F42,RRE!$L$9:$L$27))</f>
        <v/>
      </c>
      <c r="J42" s="45"/>
      <c r="K42" s="51">
        <f t="shared" ca="1" si="1"/>
        <v>20</v>
      </c>
      <c r="L42" s="45" t="e">
        <f ca="1">INDEX(RRE!$I$9:$I$27,MATCH(Ofício!K42,RRE!$W$9:$W$27,0))</f>
        <v>#N/A</v>
      </c>
    </row>
    <row r="43" spans="1:12">
      <c r="A43" s="2"/>
      <c r="B43" s="2"/>
      <c r="C43" s="2"/>
      <c r="D43" s="2"/>
      <c r="E43" s="79"/>
      <c r="F43" s="2"/>
      <c r="G43" s="2"/>
      <c r="H43" s="2"/>
      <c r="I43" s="2"/>
      <c r="J43" s="2"/>
      <c r="K43" s="2"/>
      <c r="L43" s="2"/>
    </row>
    <row r="44" spans="1:12">
      <c r="A44" s="2"/>
      <c r="B44" s="2"/>
      <c r="C44" s="2"/>
      <c r="D44" s="2"/>
      <c r="E44" s="79"/>
      <c r="F44" s="2"/>
      <c r="G44" s="2"/>
      <c r="H44" s="2"/>
      <c r="I44" s="2"/>
      <c r="J44" s="2"/>
      <c r="K44" s="2"/>
      <c r="L44" s="2"/>
    </row>
    <row r="45" spans="1:12">
      <c r="A45" s="2"/>
      <c r="B45" s="2"/>
      <c r="C45" s="2"/>
      <c r="D45" s="2"/>
      <c r="E45" s="79"/>
      <c r="F45" s="2"/>
      <c r="G45" s="2"/>
      <c r="H45" s="2"/>
      <c r="I45" s="2"/>
      <c r="J45" s="2"/>
      <c r="K45" s="2"/>
      <c r="L45" s="2"/>
    </row>
    <row r="46" spans="1:12">
      <c r="A46" s="2"/>
      <c r="B46" s="2"/>
      <c r="C46" s="2"/>
      <c r="D46" s="2"/>
      <c r="E46" s="79"/>
      <c r="F46" s="2"/>
      <c r="G46" s="2"/>
      <c r="H46" s="2"/>
      <c r="I46" s="2"/>
      <c r="J46" s="2"/>
      <c r="K46" s="2"/>
      <c r="L46" s="2"/>
    </row>
    <row r="47" spans="1:12">
      <c r="A47" s="45" t="s">
        <v>147</v>
      </c>
      <c r="B47" s="2"/>
      <c r="C47" s="2"/>
      <c r="D47" s="2"/>
      <c r="E47" s="79"/>
      <c r="F47" s="45" t="s">
        <v>147</v>
      </c>
      <c r="G47" s="2"/>
      <c r="H47" s="2"/>
      <c r="I47" s="2"/>
      <c r="J47" s="2"/>
      <c r="K47" s="2"/>
      <c r="L47" s="2"/>
    </row>
    <row r="48" spans="1:12">
      <c r="A48" s="79"/>
      <c r="B48" s="79"/>
      <c r="C48" s="79"/>
      <c r="D48" s="79"/>
      <c r="E48" s="79"/>
      <c r="F48" s="2"/>
      <c r="G48" s="2"/>
      <c r="H48" s="2"/>
      <c r="I48" s="2"/>
      <c r="J48" s="2"/>
      <c r="K48" s="2"/>
      <c r="L48" s="2"/>
    </row>
    <row r="49" spans="1:12">
      <c r="A49" s="79"/>
      <c r="B49" s="79"/>
      <c r="C49" s="79"/>
      <c r="D49" s="79"/>
      <c r="E49" s="79"/>
      <c r="F49" s="2"/>
      <c r="G49" s="2"/>
      <c r="H49" s="2"/>
      <c r="I49" s="2"/>
      <c r="J49" s="2"/>
      <c r="K49" s="2"/>
      <c r="L49" s="2"/>
    </row>
    <row r="50" spans="1:12">
      <c r="B50" s="45"/>
      <c r="C50" s="45"/>
      <c r="D50" s="45"/>
      <c r="E50" s="45"/>
      <c r="G50" s="45"/>
      <c r="H50" s="45"/>
      <c r="I50" s="45"/>
      <c r="J50" s="45"/>
      <c r="K50" s="51"/>
      <c r="L50" s="45"/>
    </row>
    <row r="51" spans="1:1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</row>
    <row r="52" spans="1:12">
      <c r="A52" s="83"/>
      <c r="B52" s="83"/>
      <c r="C52" s="83"/>
      <c r="D52" s="81"/>
      <c r="E52" s="81"/>
      <c r="F52" s="82"/>
      <c r="G52" s="83"/>
      <c r="H52" s="81"/>
      <c r="I52" s="81"/>
      <c r="J52" s="81"/>
      <c r="K52" s="45"/>
      <c r="L52" s="45"/>
    </row>
    <row r="53" spans="1:12">
      <c r="A53" s="436">
        <f>RRE!J32</f>
        <v>0</v>
      </c>
      <c r="B53" s="436"/>
      <c r="C53" s="436"/>
      <c r="D53" s="436"/>
      <c r="E53" s="436"/>
      <c r="F53" s="436">
        <f>A53</f>
        <v>0</v>
      </c>
      <c r="G53" s="436"/>
      <c r="H53" s="436"/>
      <c r="I53" s="436"/>
      <c r="J53" s="75"/>
      <c r="K53" s="45"/>
      <c r="L53" s="45"/>
    </row>
    <row r="54" spans="1:12">
      <c r="A54" s="435" t="str">
        <f>CONCATENATE(B17," ou seu representante legal")</f>
        <v>PREFEITURA MUNICIPAL DE NOVA FRIBURGO ou seu representante legal</v>
      </c>
      <c r="B54" s="435"/>
      <c r="C54" s="435"/>
      <c r="D54" s="435"/>
      <c r="E54" s="435"/>
      <c r="F54" s="435" t="str">
        <f>A54</f>
        <v>PREFEITURA MUNICIPAL DE NOVA FRIBURGO ou seu representante legal</v>
      </c>
      <c r="G54" s="435"/>
      <c r="H54" s="435"/>
      <c r="I54" s="435"/>
      <c r="J54" s="77"/>
      <c r="K54" s="45"/>
      <c r="L54" s="45"/>
    </row>
    <row r="55" spans="1:12">
      <c r="A55" s="435"/>
      <c r="B55" s="435"/>
      <c r="C55" s="435"/>
      <c r="D55" s="435"/>
      <c r="E55" s="435"/>
      <c r="F55" s="435"/>
      <c r="G55" s="435"/>
      <c r="H55" s="435"/>
      <c r="I55" s="435"/>
      <c r="J55" s="77"/>
      <c r="K55" s="45"/>
      <c r="L55" s="45"/>
    </row>
  </sheetData>
  <sheetProtection sheet="1"/>
  <mergeCells count="26">
    <mergeCell ref="A53:E53"/>
    <mergeCell ref="B26:B27"/>
    <mergeCell ref="A22:E24"/>
    <mergeCell ref="C26:C27"/>
    <mergeCell ref="D26:D27"/>
    <mergeCell ref="G17:I18"/>
    <mergeCell ref="F20:I21"/>
    <mergeCell ref="B15:E16"/>
    <mergeCell ref="B17:E18"/>
    <mergeCell ref="A36:E42"/>
    <mergeCell ref="G13:H13"/>
    <mergeCell ref="A54:E55"/>
    <mergeCell ref="F53:I53"/>
    <mergeCell ref="F54:I55"/>
    <mergeCell ref="A2:D2"/>
    <mergeCell ref="A3:D3"/>
    <mergeCell ref="A8:B8"/>
    <mergeCell ref="B12:C12"/>
    <mergeCell ref="B9:C9"/>
    <mergeCell ref="A20:B20"/>
    <mergeCell ref="A17:A18"/>
    <mergeCell ref="F2:I2"/>
    <mergeCell ref="F3:I3"/>
    <mergeCell ref="F9:G9"/>
    <mergeCell ref="G15:I16"/>
    <mergeCell ref="F17:F18"/>
  </mergeCells>
  <phoneticPr fontId="4" type="noConversion"/>
  <dataValidations count="3">
    <dataValidation type="list" allowBlank="1" showInputMessage="1" showErrorMessage="1" sqref="A20">
      <formula1>"Senhor Superintendente,Senhor Gerente"</formula1>
    </dataValidation>
    <dataValidation type="list" allowBlank="1" showInputMessage="1" showErrorMessage="1" sqref="B13">
      <formula1>"Contrato de Repasse nº:,Termo de Compromisso nº:"</formula1>
    </dataValidation>
    <dataValidation type="list" allowBlank="1" showInputMessage="1" showErrorMessage="1" sqref="A9">
      <formula1>"GIGOV,SR"</formula1>
    </dataValidation>
  </dataValidations>
  <pageMargins left="0.78740157480314965" right="0.78740157480314965" top="0.78740157480314965" bottom="0.78740157480314965" header="0.51181102362204722" footer="0.51181102362204722"/>
  <pageSetup paperSize="9" scale="99" fitToWidth="2" orientation="portrait" verticalDpi="597" r:id="rId1"/>
  <headerFooter alignWithMargins="0">
    <oddFooter>&amp;L41.211 v005  micro&amp;R&amp;P</oddFooter>
  </headerFooter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Plan6"/>
  <dimension ref="A1:AJ74"/>
  <sheetViews>
    <sheetView workbookViewId="0">
      <selection activeCell="B23" sqref="B23"/>
    </sheetView>
  </sheetViews>
  <sheetFormatPr defaultRowHeight="12.75"/>
  <cols>
    <col min="1" max="1" width="32.140625" bestFit="1" customWidth="1"/>
    <col min="2" max="2" width="49" bestFit="1" customWidth="1"/>
    <col min="3" max="3" width="22.5703125" bestFit="1" customWidth="1"/>
    <col min="4" max="4" width="8.7109375" customWidth="1"/>
    <col min="5" max="5" width="52.42578125" bestFit="1" customWidth="1"/>
    <col min="6" max="6" width="8.7109375" style="99" customWidth="1"/>
    <col min="7" max="7" width="35" bestFit="1" customWidth="1"/>
    <col min="8" max="8" width="8.7109375" customWidth="1"/>
    <col min="9" max="9" width="84.42578125" bestFit="1" customWidth="1"/>
    <col min="10" max="10" width="8.7109375" customWidth="1"/>
    <col min="11" max="11" width="38" bestFit="1" customWidth="1"/>
    <col min="12" max="12" width="8.7109375" customWidth="1"/>
    <col min="13" max="13" width="38" bestFit="1" customWidth="1"/>
    <col min="14" max="14" width="8.7109375" customWidth="1"/>
    <col min="15" max="15" width="35.7109375" bestFit="1" customWidth="1"/>
    <col min="16" max="16" width="8.7109375" customWidth="1"/>
    <col min="17" max="17" width="59.140625" bestFit="1" customWidth="1"/>
    <col min="18" max="18" width="8.7109375" customWidth="1"/>
    <col min="19" max="19" width="60.28515625" bestFit="1" customWidth="1"/>
    <col min="20" max="20" width="8.7109375" customWidth="1"/>
    <col min="21" max="21" width="30.5703125" bestFit="1" customWidth="1"/>
    <col min="22" max="22" width="8.7109375" customWidth="1"/>
    <col min="23" max="23" width="20" bestFit="1" customWidth="1"/>
    <col min="24" max="24" width="8.7109375" customWidth="1"/>
    <col min="25" max="25" width="36.5703125" bestFit="1" customWidth="1"/>
    <col min="26" max="26" width="8.7109375" customWidth="1"/>
    <col min="27" max="27" width="31.7109375" bestFit="1" customWidth="1"/>
    <col min="28" max="28" width="8.7109375" customWidth="1"/>
    <col min="29" max="29" width="53.5703125" bestFit="1" customWidth="1"/>
    <col min="30" max="30" width="8.7109375" customWidth="1"/>
    <col min="31" max="31" width="47" bestFit="1" customWidth="1"/>
    <col min="32" max="32" width="8.7109375" customWidth="1"/>
    <col min="33" max="33" width="15.140625" bestFit="1" customWidth="1"/>
    <col min="34" max="34" width="8.7109375" customWidth="1"/>
    <col min="35" max="35" width="35.85546875" bestFit="1" customWidth="1"/>
    <col min="36" max="36" width="8.7109375" customWidth="1"/>
  </cols>
  <sheetData>
    <row r="1" spans="1:36">
      <c r="C1" s="102"/>
      <c r="D1" s="454" t="s">
        <v>272</v>
      </c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G1" s="454"/>
      <c r="AH1" s="454"/>
      <c r="AI1" s="454"/>
      <c r="AJ1" s="455"/>
    </row>
    <row r="2" spans="1:36" s="98" customFormat="1">
      <c r="A2" s="98" t="s">
        <v>270</v>
      </c>
      <c r="B2" s="98" t="s">
        <v>271</v>
      </c>
      <c r="C2" s="100" t="s">
        <v>11</v>
      </c>
      <c r="D2" s="101">
        <f>COUNTA(C:C)-1</f>
        <v>3</v>
      </c>
      <c r="E2" s="100" t="s">
        <v>12</v>
      </c>
      <c r="F2" s="101">
        <f>COUNTA(E:E)-1</f>
        <v>6</v>
      </c>
      <c r="G2" s="100" t="s">
        <v>3</v>
      </c>
      <c r="H2" s="101">
        <f>COUNTA(G:G)-1</f>
        <v>6</v>
      </c>
      <c r="I2" s="100" t="s">
        <v>47</v>
      </c>
      <c r="J2" s="101">
        <f>COUNTA(I:I)-1</f>
        <v>5</v>
      </c>
      <c r="K2" s="100" t="s">
        <v>4</v>
      </c>
      <c r="L2" s="101">
        <f>COUNTA(K:K)-1</f>
        <v>11</v>
      </c>
      <c r="M2" s="100" t="s">
        <v>5</v>
      </c>
      <c r="N2" s="101">
        <f>COUNTA(M:M)-1</f>
        <v>8</v>
      </c>
      <c r="O2" s="100" t="s">
        <v>6</v>
      </c>
      <c r="P2" s="101">
        <f>COUNTA(O:O)-1</f>
        <v>4</v>
      </c>
      <c r="Q2" s="100" t="s">
        <v>7</v>
      </c>
      <c r="R2" s="101">
        <f>COUNTA(Q:Q)-1</f>
        <v>6</v>
      </c>
      <c r="S2" s="100" t="s">
        <v>74</v>
      </c>
      <c r="T2" s="101">
        <f>COUNTA(S:S)-1</f>
        <v>2</v>
      </c>
      <c r="U2" s="100" t="s">
        <v>13</v>
      </c>
      <c r="V2" s="101">
        <f>COUNTA(U:U)-1</f>
        <v>2</v>
      </c>
      <c r="W2" s="100" t="s">
        <v>62</v>
      </c>
      <c r="X2" s="100"/>
      <c r="Y2" s="100" t="s">
        <v>8</v>
      </c>
      <c r="Z2" s="101">
        <f>COUNTA(Y:Y)-1</f>
        <v>1</v>
      </c>
      <c r="AA2" s="100" t="s">
        <v>9</v>
      </c>
      <c r="AB2" s="101">
        <f>COUNTA(AA:AA)-1</f>
        <v>1</v>
      </c>
      <c r="AC2" s="100" t="s">
        <v>10</v>
      </c>
      <c r="AD2" s="101">
        <f>COUNTA(AC:AC)-1</f>
        <v>1</v>
      </c>
      <c r="AE2" s="100" t="s">
        <v>51</v>
      </c>
      <c r="AF2" s="101">
        <f>COUNTA(AE:AE)-1</f>
        <v>3</v>
      </c>
      <c r="AG2" s="100" t="s">
        <v>22</v>
      </c>
      <c r="AH2" s="101">
        <f>COUNTA(AG:AG)-1</f>
        <v>1</v>
      </c>
      <c r="AI2" s="100" t="s">
        <v>48</v>
      </c>
      <c r="AJ2" s="101">
        <f>COUNTA(AI:AI)-1</f>
        <v>4</v>
      </c>
    </row>
    <row r="3" spans="1:36">
      <c r="A3" s="34" t="s">
        <v>188</v>
      </c>
      <c r="B3" s="31" t="s">
        <v>11</v>
      </c>
      <c r="C3" s="2" t="s">
        <v>17</v>
      </c>
      <c r="D3" s="32" t="s">
        <v>54</v>
      </c>
      <c r="E3" s="35" t="s">
        <v>46</v>
      </c>
      <c r="F3" s="32" t="s">
        <v>53</v>
      </c>
      <c r="G3" s="2" t="s">
        <v>278</v>
      </c>
      <c r="H3" s="32" t="s">
        <v>53</v>
      </c>
      <c r="I3" s="38" t="s">
        <v>41</v>
      </c>
      <c r="J3" s="33" t="s">
        <v>52</v>
      </c>
      <c r="K3" s="2" t="s">
        <v>25</v>
      </c>
      <c r="L3" s="33" t="s">
        <v>60</v>
      </c>
      <c r="M3" s="38" t="s">
        <v>44</v>
      </c>
      <c r="N3" s="32" t="s">
        <v>54</v>
      </c>
      <c r="O3" s="2" t="s">
        <v>69</v>
      </c>
      <c r="P3" s="32" t="s">
        <v>54</v>
      </c>
      <c r="Q3" s="2" t="s">
        <v>14</v>
      </c>
      <c r="R3" s="32" t="s">
        <v>54</v>
      </c>
      <c r="S3" s="2" t="s">
        <v>75</v>
      </c>
      <c r="T3" s="32" t="s">
        <v>53</v>
      </c>
      <c r="U3" s="2" t="s">
        <v>42</v>
      </c>
      <c r="V3" s="32" t="s">
        <v>53</v>
      </c>
      <c r="W3" s="2" t="s">
        <v>62</v>
      </c>
      <c r="X3" s="32" t="s">
        <v>53</v>
      </c>
      <c r="Y3" s="2" t="s">
        <v>8</v>
      </c>
      <c r="Z3" s="32" t="s">
        <v>54</v>
      </c>
      <c r="AA3" s="2" t="s">
        <v>9</v>
      </c>
      <c r="AB3" s="32" t="s">
        <v>54</v>
      </c>
      <c r="AC3" s="2" t="s">
        <v>10</v>
      </c>
      <c r="AD3" s="32" t="s">
        <v>54</v>
      </c>
      <c r="AE3" s="39" t="s">
        <v>49</v>
      </c>
      <c r="AF3" s="32" t="s">
        <v>54</v>
      </c>
      <c r="AG3" s="39" t="s">
        <v>22</v>
      </c>
      <c r="AH3" s="33" t="s">
        <v>77</v>
      </c>
      <c r="AI3" s="39" t="s">
        <v>91</v>
      </c>
      <c r="AJ3" s="33" t="s">
        <v>90</v>
      </c>
    </row>
    <row r="4" spans="1:36">
      <c r="A4" s="34" t="s">
        <v>179</v>
      </c>
      <c r="B4" s="31" t="s">
        <v>12</v>
      </c>
      <c r="C4" s="2" t="s">
        <v>56</v>
      </c>
      <c r="D4" s="33" t="s">
        <v>54</v>
      </c>
      <c r="E4" s="2" t="s">
        <v>39</v>
      </c>
      <c r="F4" s="33" t="s">
        <v>53</v>
      </c>
      <c r="G4" s="2" t="s">
        <v>279</v>
      </c>
      <c r="H4" s="32" t="s">
        <v>53</v>
      </c>
      <c r="I4" s="2" t="s">
        <v>32</v>
      </c>
      <c r="J4" s="32" t="s">
        <v>52</v>
      </c>
      <c r="K4" s="2" t="s">
        <v>26</v>
      </c>
      <c r="L4" s="33" t="s">
        <v>60</v>
      </c>
      <c r="M4" s="38" t="s">
        <v>65</v>
      </c>
      <c r="N4" s="32" t="s">
        <v>52</v>
      </c>
      <c r="O4" s="2" t="s">
        <v>79</v>
      </c>
      <c r="P4" s="33" t="s">
        <v>54</v>
      </c>
      <c r="Q4" s="38" t="s">
        <v>72</v>
      </c>
      <c r="R4" s="32" t="s">
        <v>55</v>
      </c>
      <c r="S4" s="2" t="s">
        <v>76</v>
      </c>
      <c r="T4" s="32" t="s">
        <v>53</v>
      </c>
      <c r="U4" s="2" t="s">
        <v>20</v>
      </c>
      <c r="V4" s="32" t="s">
        <v>53</v>
      </c>
      <c r="X4" s="32"/>
      <c r="Z4" s="33"/>
      <c r="AB4" s="33"/>
      <c r="AD4" s="33"/>
      <c r="AE4" s="39" t="s">
        <v>61</v>
      </c>
      <c r="AF4" s="32" t="s">
        <v>54</v>
      </c>
      <c r="AI4" s="39" t="s">
        <v>92</v>
      </c>
      <c r="AJ4" s="33" t="s">
        <v>90</v>
      </c>
    </row>
    <row r="5" spans="1:36">
      <c r="A5" s="34" t="s">
        <v>172</v>
      </c>
      <c r="B5" s="31" t="s">
        <v>3</v>
      </c>
      <c r="C5" s="2" t="s">
        <v>23</v>
      </c>
      <c r="D5" s="33" t="s">
        <v>54</v>
      </c>
      <c r="E5" s="2" t="s">
        <v>38</v>
      </c>
      <c r="F5" s="33" t="s">
        <v>53</v>
      </c>
      <c r="G5" s="2" t="s">
        <v>63</v>
      </c>
      <c r="H5" s="33" t="s">
        <v>52</v>
      </c>
      <c r="I5" s="2" t="s">
        <v>28</v>
      </c>
      <c r="J5" s="33" t="s">
        <v>52</v>
      </c>
      <c r="K5" s="2" t="s">
        <v>58</v>
      </c>
      <c r="L5" s="33" t="s">
        <v>60</v>
      </c>
      <c r="M5" s="38" t="s">
        <v>66</v>
      </c>
      <c r="N5" s="32" t="s">
        <v>52</v>
      </c>
      <c r="O5" s="2" t="s">
        <v>70</v>
      </c>
      <c r="P5" s="33" t="s">
        <v>52</v>
      </c>
      <c r="Q5" s="2" t="s">
        <v>73</v>
      </c>
      <c r="R5" s="32" t="s">
        <v>55</v>
      </c>
      <c r="T5" s="33"/>
      <c r="V5" s="33"/>
      <c r="X5" s="33"/>
      <c r="Z5" s="33"/>
      <c r="AB5" s="33"/>
      <c r="AD5" s="33"/>
      <c r="AE5" s="39" t="s">
        <v>50</v>
      </c>
      <c r="AF5" s="32" t="s">
        <v>54</v>
      </c>
      <c r="AI5" s="39" t="s">
        <v>93</v>
      </c>
      <c r="AJ5" s="33" t="s">
        <v>90</v>
      </c>
    </row>
    <row r="6" spans="1:36">
      <c r="A6" s="34" t="s">
        <v>217</v>
      </c>
      <c r="B6" s="31" t="s">
        <v>47</v>
      </c>
      <c r="E6" s="2" t="s">
        <v>40</v>
      </c>
      <c r="F6" s="33" t="s">
        <v>53</v>
      </c>
      <c r="G6" s="2" t="s">
        <v>24</v>
      </c>
      <c r="H6" s="33" t="s">
        <v>53</v>
      </c>
      <c r="I6" s="38" t="s">
        <v>45</v>
      </c>
      <c r="J6" s="33" t="s">
        <v>53</v>
      </c>
      <c r="K6" s="2" t="s">
        <v>21</v>
      </c>
      <c r="L6" s="33" t="s">
        <v>52</v>
      </c>
      <c r="M6" s="2" t="s">
        <v>27</v>
      </c>
      <c r="N6" s="33" t="s">
        <v>52</v>
      </c>
      <c r="O6" s="2" t="s">
        <v>71</v>
      </c>
      <c r="P6" s="33" t="s">
        <v>52</v>
      </c>
      <c r="Q6" s="38" t="s">
        <v>43</v>
      </c>
      <c r="R6" s="32" t="s">
        <v>54</v>
      </c>
      <c r="AI6" s="39" t="s">
        <v>256</v>
      </c>
      <c r="AJ6" s="33" t="s">
        <v>90</v>
      </c>
    </row>
    <row r="7" spans="1:36">
      <c r="A7" s="34" t="s">
        <v>186</v>
      </c>
      <c r="B7" s="31" t="s">
        <v>4</v>
      </c>
      <c r="E7" s="2" t="s">
        <v>18</v>
      </c>
      <c r="F7" s="33" t="s">
        <v>53</v>
      </c>
      <c r="G7" s="2" t="s">
        <v>19</v>
      </c>
      <c r="H7" s="33" t="s">
        <v>53</v>
      </c>
      <c r="I7" s="38" t="s">
        <v>64</v>
      </c>
      <c r="J7" s="33" t="s">
        <v>55</v>
      </c>
      <c r="K7" s="2" t="s">
        <v>29</v>
      </c>
      <c r="L7" s="33" t="s">
        <v>60</v>
      </c>
      <c r="M7" s="2" t="s">
        <v>31</v>
      </c>
      <c r="N7" s="33" t="s">
        <v>60</v>
      </c>
      <c r="O7" s="2"/>
      <c r="Q7" s="2" t="s">
        <v>15</v>
      </c>
      <c r="R7" s="32" t="s">
        <v>54</v>
      </c>
    </row>
    <row r="8" spans="1:36">
      <c r="A8" s="34" t="s">
        <v>206</v>
      </c>
      <c r="B8" s="31" t="s">
        <v>5</v>
      </c>
      <c r="E8" s="2" t="s">
        <v>37</v>
      </c>
      <c r="F8" s="32" t="s">
        <v>53</v>
      </c>
      <c r="G8" s="11" t="s">
        <v>30</v>
      </c>
      <c r="H8" s="33" t="s">
        <v>53</v>
      </c>
      <c r="K8" s="2" t="s">
        <v>59</v>
      </c>
      <c r="L8" s="33" t="s">
        <v>60</v>
      </c>
      <c r="M8" s="2" t="s">
        <v>67</v>
      </c>
      <c r="N8" s="33" t="s">
        <v>60</v>
      </c>
      <c r="Q8" s="2" t="s">
        <v>16</v>
      </c>
      <c r="R8" s="32" t="s">
        <v>53</v>
      </c>
    </row>
    <row r="9" spans="1:36">
      <c r="A9" s="34" t="s">
        <v>173</v>
      </c>
      <c r="B9" s="31" t="s">
        <v>6</v>
      </c>
      <c r="K9" s="2" t="s">
        <v>57</v>
      </c>
      <c r="L9" s="33" t="s">
        <v>52</v>
      </c>
      <c r="M9" s="2" t="s">
        <v>36</v>
      </c>
      <c r="N9" s="33" t="s">
        <v>60</v>
      </c>
    </row>
    <row r="10" spans="1:36">
      <c r="A10" s="34" t="s">
        <v>232</v>
      </c>
      <c r="B10" s="31" t="s">
        <v>7</v>
      </c>
      <c r="K10" s="2" t="s">
        <v>34</v>
      </c>
      <c r="L10" s="33" t="s">
        <v>55</v>
      </c>
      <c r="M10" s="2" t="s">
        <v>68</v>
      </c>
      <c r="N10" s="32" t="s">
        <v>54</v>
      </c>
    </row>
    <row r="11" spans="1:36">
      <c r="A11" s="34" t="s">
        <v>182</v>
      </c>
      <c r="B11" s="31" t="s">
        <v>74</v>
      </c>
      <c r="K11" s="2" t="s">
        <v>33</v>
      </c>
      <c r="L11" s="33" t="s">
        <v>52</v>
      </c>
    </row>
    <row r="12" spans="1:36">
      <c r="A12" s="34" t="s">
        <v>197</v>
      </c>
      <c r="B12" s="31" t="s">
        <v>13</v>
      </c>
      <c r="K12" s="2" t="s">
        <v>44</v>
      </c>
      <c r="L12" s="33" t="s">
        <v>54</v>
      </c>
    </row>
    <row r="13" spans="1:36">
      <c r="A13" s="34" t="s">
        <v>175</v>
      </c>
      <c r="B13" s="31" t="s">
        <v>62</v>
      </c>
      <c r="K13" s="2" t="s">
        <v>35</v>
      </c>
      <c r="L13" s="33" t="s">
        <v>52</v>
      </c>
    </row>
    <row r="14" spans="1:36">
      <c r="A14" s="34" t="s">
        <v>174</v>
      </c>
      <c r="B14" s="31" t="s">
        <v>8</v>
      </c>
    </row>
    <row r="15" spans="1:36">
      <c r="A15" s="34" t="s">
        <v>209</v>
      </c>
      <c r="B15" s="31" t="s">
        <v>9</v>
      </c>
    </row>
    <row r="16" spans="1:36">
      <c r="A16" s="34" t="s">
        <v>221</v>
      </c>
      <c r="B16" s="31" t="s">
        <v>10</v>
      </c>
    </row>
    <row r="17" spans="1:2">
      <c r="A17" s="34" t="s">
        <v>233</v>
      </c>
      <c r="B17" s="31" t="s">
        <v>51</v>
      </c>
    </row>
    <row r="18" spans="1:2">
      <c r="A18" s="34" t="s">
        <v>212</v>
      </c>
      <c r="B18" s="31" t="s">
        <v>22</v>
      </c>
    </row>
    <row r="19" spans="1:2">
      <c r="A19" s="34" t="s">
        <v>203</v>
      </c>
      <c r="B19" s="31" t="s">
        <v>48</v>
      </c>
    </row>
    <row r="20" spans="1:2">
      <c r="A20" s="34" t="s">
        <v>207</v>
      </c>
    </row>
    <row r="21" spans="1:2">
      <c r="A21" s="34" t="s">
        <v>208</v>
      </c>
    </row>
    <row r="22" spans="1:2">
      <c r="A22" s="34" t="s">
        <v>169</v>
      </c>
    </row>
    <row r="23" spans="1:2">
      <c r="A23" s="34" t="s">
        <v>227</v>
      </c>
    </row>
    <row r="24" spans="1:2">
      <c r="A24" s="34" t="s">
        <v>204</v>
      </c>
    </row>
    <row r="25" spans="1:2">
      <c r="A25" s="34" t="s">
        <v>189</v>
      </c>
    </row>
    <row r="26" spans="1:2">
      <c r="A26" s="34" t="s">
        <v>198</v>
      </c>
    </row>
    <row r="27" spans="1:2">
      <c r="A27" s="34" t="s">
        <v>176</v>
      </c>
    </row>
    <row r="28" spans="1:2">
      <c r="A28" s="12" t="s">
        <v>222</v>
      </c>
    </row>
    <row r="29" spans="1:2">
      <c r="A29" s="12" t="s">
        <v>199</v>
      </c>
    </row>
    <row r="30" spans="1:2">
      <c r="A30" s="12" t="s">
        <v>234</v>
      </c>
    </row>
    <row r="31" spans="1:2">
      <c r="A31" s="12" t="s">
        <v>223</v>
      </c>
    </row>
    <row r="32" spans="1:2">
      <c r="A32" s="12" t="s">
        <v>184</v>
      </c>
    </row>
    <row r="33" spans="1:1">
      <c r="A33" s="12" t="s">
        <v>190</v>
      </c>
    </row>
    <row r="34" spans="1:1">
      <c r="A34" s="12" t="s">
        <v>213</v>
      </c>
    </row>
    <row r="35" spans="1:1">
      <c r="A35" s="12" t="s">
        <v>210</v>
      </c>
    </row>
    <row r="36" spans="1:1">
      <c r="A36" s="12" t="s">
        <v>185</v>
      </c>
    </row>
    <row r="37" spans="1:1">
      <c r="A37" s="12" t="s">
        <v>171</v>
      </c>
    </row>
    <row r="38" spans="1:1">
      <c r="A38" s="12" t="s">
        <v>183</v>
      </c>
    </row>
    <row r="39" spans="1:1">
      <c r="A39" s="12" t="s">
        <v>191</v>
      </c>
    </row>
    <row r="40" spans="1:1">
      <c r="A40" s="12" t="s">
        <v>177</v>
      </c>
    </row>
    <row r="41" spans="1:1">
      <c r="A41" s="12" t="s">
        <v>216</v>
      </c>
    </row>
    <row r="42" spans="1:1">
      <c r="A42" s="12" t="s">
        <v>214</v>
      </c>
    </row>
    <row r="43" spans="1:1">
      <c r="A43" s="12" t="s">
        <v>192</v>
      </c>
    </row>
    <row r="44" spans="1:1">
      <c r="A44" s="12" t="s">
        <v>201</v>
      </c>
    </row>
    <row r="45" spans="1:1">
      <c r="A45" s="12" t="s">
        <v>220</v>
      </c>
    </row>
    <row r="46" spans="1:1">
      <c r="A46" s="12" t="s">
        <v>228</v>
      </c>
    </row>
    <row r="47" spans="1:1">
      <c r="A47" s="12" t="s">
        <v>224</v>
      </c>
    </row>
    <row r="48" spans="1:1">
      <c r="A48" s="12" t="s">
        <v>215</v>
      </c>
    </row>
    <row r="49" spans="1:1">
      <c r="A49" s="12" t="s">
        <v>202</v>
      </c>
    </row>
    <row r="50" spans="1:1">
      <c r="A50" s="12" t="s">
        <v>235</v>
      </c>
    </row>
    <row r="51" spans="1:1">
      <c r="A51" s="12" t="s">
        <v>200</v>
      </c>
    </row>
    <row r="52" spans="1:1">
      <c r="A52" s="12" t="s">
        <v>178</v>
      </c>
    </row>
    <row r="53" spans="1:1">
      <c r="A53" s="12" t="s">
        <v>205</v>
      </c>
    </row>
    <row r="54" spans="1:1">
      <c r="A54" s="12" t="s">
        <v>236</v>
      </c>
    </row>
    <row r="55" spans="1:1">
      <c r="A55" s="12" t="s">
        <v>180</v>
      </c>
    </row>
    <row r="56" spans="1:1">
      <c r="A56" s="12" t="s">
        <v>181</v>
      </c>
    </row>
    <row r="57" spans="1:1">
      <c r="A57" s="12" t="s">
        <v>193</v>
      </c>
    </row>
    <row r="58" spans="1:1">
      <c r="A58" s="12" t="s">
        <v>218</v>
      </c>
    </row>
    <row r="59" spans="1:1">
      <c r="A59" s="12" t="s">
        <v>237</v>
      </c>
    </row>
    <row r="60" spans="1:1">
      <c r="A60" s="12" t="s">
        <v>194</v>
      </c>
    </row>
    <row r="61" spans="1:1">
      <c r="A61" s="12" t="s">
        <v>229</v>
      </c>
    </row>
    <row r="62" spans="1:1">
      <c r="A62" s="12" t="s">
        <v>239</v>
      </c>
    </row>
    <row r="63" spans="1:1">
      <c r="A63" s="12" t="s">
        <v>195</v>
      </c>
    </row>
    <row r="64" spans="1:1">
      <c r="A64" s="12" t="s">
        <v>211</v>
      </c>
    </row>
    <row r="65" spans="1:1">
      <c r="A65" s="12" t="s">
        <v>240</v>
      </c>
    </row>
    <row r="66" spans="1:1">
      <c r="A66" s="12" t="s">
        <v>230</v>
      </c>
    </row>
    <row r="67" spans="1:1">
      <c r="A67" s="12" t="s">
        <v>238</v>
      </c>
    </row>
    <row r="68" spans="1:1">
      <c r="A68" s="12" t="s">
        <v>231</v>
      </c>
    </row>
    <row r="69" spans="1:1">
      <c r="A69" s="12" t="s">
        <v>196</v>
      </c>
    </row>
    <row r="70" spans="1:1">
      <c r="A70" s="12" t="s">
        <v>170</v>
      </c>
    </row>
    <row r="71" spans="1:1">
      <c r="A71" s="12" t="s">
        <v>226</v>
      </c>
    </row>
    <row r="72" spans="1:1">
      <c r="A72" s="12" t="s">
        <v>187</v>
      </c>
    </row>
    <row r="73" spans="1:1">
      <c r="A73" s="12" t="s">
        <v>225</v>
      </c>
    </row>
    <row r="74" spans="1:1">
      <c r="A74" s="12" t="s">
        <v>219</v>
      </c>
    </row>
  </sheetData>
  <sheetProtection sheet="1" objects="1" scenarios="1"/>
  <mergeCells count="1">
    <mergeCell ref="D1:AJ1"/>
  </mergeCells>
  <phoneticPr fontId="4" type="noConversion"/>
  <pageMargins left="0.75" right="0.75" top="1" bottom="1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11</vt:i4>
      </vt:variant>
    </vt:vector>
  </HeadingPairs>
  <TitlesOfParts>
    <vt:vector size="17" baseType="lpstr">
      <vt:lpstr>DADOS</vt:lpstr>
      <vt:lpstr>QCI</vt:lpstr>
      <vt:lpstr>CRONO</vt:lpstr>
      <vt:lpstr>RRE</vt:lpstr>
      <vt:lpstr>Ofício</vt:lpstr>
      <vt:lpstr>Listas</vt:lpstr>
      <vt:lpstr>CRONO!Area_de_impressao</vt:lpstr>
      <vt:lpstr>DADOS!Area_de_impressao</vt:lpstr>
      <vt:lpstr>Ofício!Area_de_impressao</vt:lpstr>
      <vt:lpstr>QCI!Area_de_impressao</vt:lpstr>
      <vt:lpstr>RRE!Area_de_impressao</vt:lpstr>
      <vt:lpstr>RRE!I.Lotes</vt:lpstr>
      <vt:lpstr>I.Lotes</vt:lpstr>
      <vt:lpstr>ListaGIGOV</vt:lpstr>
      <vt:lpstr>CRONO!Titulos_de_impressao</vt:lpstr>
      <vt:lpstr>QCI!Titulos_de_impressao</vt:lpstr>
      <vt:lpstr>RRE!Titulos_de_impressao</vt:lpstr>
    </vt:vector>
  </TitlesOfParts>
  <Company>Caixa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Caixa</dc:creator>
  <cp:lastModifiedBy>marcio.balbo</cp:lastModifiedBy>
  <cp:lastPrinted>2022-07-07T19:19:34Z</cp:lastPrinted>
  <dcterms:created xsi:type="dcterms:W3CDTF">2014-09-26T18:49:26Z</dcterms:created>
  <dcterms:modified xsi:type="dcterms:W3CDTF">2022-07-07T19:20:04Z</dcterms:modified>
</cp:coreProperties>
</file>